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2.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vgil\Desktop\"/>
    </mc:Choice>
  </mc:AlternateContent>
  <xr:revisionPtr revIDLastSave="0" documentId="13_ncr:1_{811C8BB1-3900-4D71-8948-1CD288CC80E2}" xr6:coauthVersionLast="45" xr6:coauthVersionMax="45" xr10:uidLastSave="{00000000-0000-0000-0000-000000000000}"/>
  <bookViews>
    <workbookView xWindow="-108" yWindow="-108" windowWidth="23256" windowHeight="12576" tabRatio="632" firstSheet="3" activeTab="3" xr2:uid="{00000000-000D-0000-FFFF-FFFF00000000}"/>
  </bookViews>
  <sheets>
    <sheet name="E" sheetId="7" state="hidden" r:id="rId1"/>
    <sheet name="S" sheetId="6" state="hidden" r:id="rId2"/>
    <sheet name="D" sheetId="5" state="hidden" r:id="rId3"/>
    <sheet name="AG15.1" sheetId="8" r:id="rId4"/>
    <sheet name="AG15.1.1" sheetId="2" r:id="rId5"/>
    <sheet name="AG15.1.2" sheetId="3" r:id="rId6"/>
    <sheet name="AG15.1.3" sheetId="4" r:id="rId7"/>
    <sheet name="AG15.1.4" sheetId="9" r:id="rId8"/>
    <sheet name="AG15.1.5" sheetId="10" r:id="rId9"/>
  </sheets>
  <externalReferences>
    <externalReference r:id="rId10"/>
    <externalReference r:id="rId11"/>
    <externalReference r:id="rId12"/>
    <externalReference r:id="rId13"/>
  </externalReferences>
  <definedNames>
    <definedName name="_31_03_2011">[1]DATOS!#REF!</definedName>
    <definedName name="_xlnm.Print_Area" localSheetId="4">'AG15.1.1'!$A$1:$Q$166</definedName>
    <definedName name="_xlnm.Print_Area" localSheetId="5">'AG15.1.2'!$A$1:$N$91</definedName>
    <definedName name="_xlnm.Print_Area" localSheetId="6">'AG15.1.3'!$A$1:$N$160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9" l="1"/>
  <c r="J14" i="9"/>
  <c r="E34" i="4"/>
  <c r="E33" i="4"/>
  <c r="E32" i="4"/>
  <c r="E31" i="4"/>
  <c r="E30" i="4"/>
  <c r="E28" i="4"/>
  <c r="E25" i="4"/>
  <c r="E24" i="4"/>
  <c r="J86" i="3"/>
  <c r="H86" i="3"/>
  <c r="E86" i="3"/>
  <c r="J84" i="3"/>
  <c r="H84" i="3"/>
  <c r="E84" i="3"/>
  <c r="J23" i="9" l="1"/>
  <c r="E29" i="4"/>
  <c r="E26" i="4"/>
  <c r="K84" i="3"/>
  <c r="M84" i="3"/>
  <c r="G84" i="3"/>
  <c r="N84" i="3"/>
  <c r="I84" i="3"/>
  <c r="D28" i="10"/>
  <c r="E28" i="10"/>
  <c r="F28" i="10"/>
  <c r="G28" i="10"/>
  <c r="C28" i="10"/>
  <c r="C24" i="10"/>
  <c r="H24" i="10" s="1"/>
  <c r="D13" i="10"/>
  <c r="E13" i="10"/>
  <c r="F13" i="10"/>
  <c r="G13" i="10"/>
  <c r="D23" i="10"/>
  <c r="E23" i="10"/>
  <c r="F23" i="10"/>
  <c r="G23" i="10"/>
  <c r="C23" i="10"/>
  <c r="C13" i="10"/>
  <c r="H12" i="10"/>
  <c r="H27" i="10"/>
  <c r="H26" i="10"/>
  <c r="H25" i="10"/>
  <c r="H22" i="10"/>
  <c r="H20" i="10"/>
  <c r="H19" i="10"/>
  <c r="E17" i="10"/>
  <c r="H17" i="10" s="1"/>
  <c r="H16" i="10"/>
  <c r="H15" i="10"/>
  <c r="H14" i="10"/>
  <c r="G11" i="10"/>
  <c r="F11" i="10"/>
  <c r="E11" i="10"/>
  <c r="D11" i="10"/>
  <c r="C11" i="10"/>
  <c r="H8" i="10"/>
  <c r="H11" i="10" s="1"/>
  <c r="H23" i="10" l="1"/>
  <c r="G18" i="10"/>
  <c r="G21" i="10" s="1"/>
  <c r="F18" i="10"/>
  <c r="F21" i="10" s="1"/>
  <c r="H13" i="10"/>
  <c r="H18" i="10" s="1"/>
  <c r="H21" i="10" s="1"/>
  <c r="D18" i="10"/>
  <c r="D21" i="10" s="1"/>
  <c r="C18" i="10"/>
  <c r="C21" i="10" s="1"/>
  <c r="E18" i="10"/>
  <c r="E21" i="10" s="1"/>
  <c r="H28" i="10" l="1"/>
  <c r="H21" i="9" l="1"/>
  <c r="I14" i="9"/>
  <c r="H14" i="9"/>
  <c r="B35" i="8" l="1"/>
  <c r="N41" i="3"/>
  <c r="N42" i="3"/>
  <c r="M43" i="3"/>
  <c r="J43" i="3"/>
  <c r="N43" i="3"/>
  <c r="E44" i="3"/>
  <c r="H44" i="3"/>
  <c r="I76" i="2"/>
  <c r="I67" i="2"/>
  <c r="M2" i="2"/>
  <c r="M41" i="3" l="1"/>
  <c r="M42" i="3"/>
  <c r="N44" i="3"/>
  <c r="M44" i="3"/>
  <c r="M103" i="2"/>
  <c r="M104" i="2"/>
  <c r="K103" i="2"/>
  <c r="K104" i="2"/>
  <c r="I103" i="2"/>
  <c r="Q103" i="2" s="1"/>
  <c r="I104" i="2"/>
  <c r="Q104" i="2" s="1"/>
  <c r="P104" i="2" l="1"/>
  <c r="P103" i="2"/>
  <c r="M28" i="2"/>
  <c r="M30" i="2"/>
  <c r="M23" i="2"/>
  <c r="M25" i="2"/>
  <c r="M27" i="2"/>
  <c r="M22" i="2"/>
  <c r="K29" i="2"/>
  <c r="K28" i="2"/>
  <c r="K30" i="2"/>
  <c r="K22" i="2"/>
  <c r="M29" i="2" l="1"/>
  <c r="M21" i="2" s="1"/>
  <c r="K23" i="2"/>
  <c r="K25" i="2"/>
  <c r="K27" i="2"/>
  <c r="I23" i="2"/>
  <c r="I25" i="2"/>
  <c r="I27" i="2"/>
  <c r="I28" i="2"/>
  <c r="I29" i="2"/>
  <c r="I30" i="2"/>
  <c r="I22" i="2"/>
  <c r="I21" i="2" l="1"/>
  <c r="I55" i="2"/>
  <c r="E75" i="3" l="1"/>
  <c r="E76" i="3"/>
  <c r="E77" i="3"/>
  <c r="M148" i="2"/>
  <c r="M132" i="2"/>
  <c r="K132" i="2"/>
  <c r="I132" i="2"/>
  <c r="P132" i="2" l="1"/>
  <c r="E74" i="3"/>
  <c r="K21" i="2"/>
  <c r="B28" i="8" s="1"/>
  <c r="J76" i="3" l="1"/>
  <c r="J77" i="3"/>
  <c r="J75" i="3"/>
  <c r="H76" i="3"/>
  <c r="H77" i="3"/>
  <c r="H75" i="3"/>
  <c r="J62" i="3"/>
  <c r="H62" i="3"/>
  <c r="E62" i="3"/>
  <c r="J51" i="3"/>
  <c r="H51" i="3"/>
  <c r="E51" i="3"/>
  <c r="J24" i="3"/>
  <c r="H24" i="3"/>
  <c r="E24" i="3"/>
  <c r="M142" i="2"/>
  <c r="M141" i="2"/>
  <c r="K142" i="2"/>
  <c r="K141" i="2"/>
  <c r="I141" i="2"/>
  <c r="M102" i="2"/>
  <c r="K102" i="2"/>
  <c r="I102" i="2"/>
  <c r="P29" i="2"/>
  <c r="P30" i="2"/>
  <c r="I140" i="2" l="1"/>
  <c r="P102" i="2"/>
  <c r="Q142" i="2"/>
  <c r="M140" i="2"/>
  <c r="J74" i="3"/>
  <c r="P142" i="2"/>
  <c r="H74" i="3"/>
  <c r="K140" i="2"/>
  <c r="Q141" i="2"/>
  <c r="P141" i="2"/>
  <c r="Q102" i="2"/>
  <c r="Q30" i="2"/>
  <c r="Q29" i="2"/>
  <c r="I11" i="7"/>
  <c r="I12" i="7" s="1"/>
  <c r="M62" i="3" l="1"/>
  <c r="N51" i="3"/>
  <c r="G22" i="4"/>
  <c r="M159" i="2"/>
  <c r="I159" i="2"/>
  <c r="K159" i="2"/>
  <c r="M51" i="3" l="1"/>
  <c r="M77" i="3"/>
  <c r="N77" i="3"/>
  <c r="M76" i="3"/>
  <c r="N76" i="3"/>
  <c r="N62" i="3"/>
  <c r="M75" i="3"/>
  <c r="N75" i="3"/>
  <c r="M24" i="3"/>
  <c r="N24" i="3"/>
  <c r="E365" i="8" l="1"/>
  <c r="E358" i="8"/>
  <c r="E351" i="8"/>
  <c r="E344" i="8"/>
  <c r="E337" i="8"/>
  <c r="E330" i="8"/>
  <c r="E323" i="8"/>
  <c r="E316" i="8"/>
  <c r="E304" i="8"/>
  <c r="E297" i="8"/>
  <c r="E290" i="8"/>
  <c r="E283" i="8"/>
  <c r="E276" i="8"/>
  <c r="E269" i="8"/>
  <c r="E262" i="8"/>
  <c r="E255" i="8"/>
  <c r="E248" i="8"/>
  <c r="E238" i="8"/>
  <c r="E231" i="8"/>
  <c r="E224" i="8"/>
  <c r="E217" i="8"/>
  <c r="E210" i="8"/>
  <c r="E203" i="8"/>
  <c r="E196" i="8"/>
  <c r="E189" i="8"/>
  <c r="E182" i="8"/>
  <c r="E175" i="8"/>
  <c r="E168" i="8"/>
  <c r="E161" i="8"/>
  <c r="E154" i="8"/>
  <c r="E147" i="8"/>
  <c r="E140" i="8"/>
  <c r="E133" i="8"/>
  <c r="E126" i="8"/>
  <c r="E119" i="8"/>
  <c r="E112" i="8"/>
  <c r="E105" i="8"/>
  <c r="E98" i="8"/>
  <c r="E91" i="8"/>
  <c r="E84" i="8"/>
  <c r="E77" i="8"/>
  <c r="E70" i="8"/>
  <c r="E63" i="8"/>
  <c r="E56" i="8"/>
  <c r="E49" i="8"/>
  <c r="E42" i="8"/>
  <c r="E35" i="8"/>
  <c r="E28" i="8"/>
  <c r="J52" i="3"/>
  <c r="B290" i="8"/>
  <c r="E53" i="3"/>
  <c r="M137" i="2"/>
  <c r="K137" i="2"/>
  <c r="I137" i="2"/>
  <c r="C189" i="8" s="1"/>
  <c r="M118" i="2"/>
  <c r="M116" i="2"/>
  <c r="K118" i="2"/>
  <c r="K116" i="2"/>
  <c r="I116" i="2"/>
  <c r="I118" i="2"/>
  <c r="I360" i="8"/>
  <c r="I353" i="8"/>
  <c r="I346" i="8"/>
  <c r="I339" i="8"/>
  <c r="I332" i="8"/>
  <c r="I325" i="8"/>
  <c r="I318" i="8"/>
  <c r="I311" i="8"/>
  <c r="I299" i="8"/>
  <c r="I292" i="8"/>
  <c r="I285" i="8"/>
  <c r="I278" i="8"/>
  <c r="I271" i="8"/>
  <c r="I264" i="8"/>
  <c r="I257" i="8"/>
  <c r="I250" i="8"/>
  <c r="I243" i="8"/>
  <c r="I233" i="8"/>
  <c r="I226" i="8"/>
  <c r="I219" i="8"/>
  <c r="I212" i="8"/>
  <c r="I205" i="8"/>
  <c r="I198" i="8"/>
  <c r="I184" i="8"/>
  <c r="I177" i="8"/>
  <c r="I170" i="8"/>
  <c r="I163" i="8"/>
  <c r="I156" i="8"/>
  <c r="I149" i="8"/>
  <c r="I142" i="8"/>
  <c r="I135" i="8"/>
  <c r="I128" i="8"/>
  <c r="I121" i="8"/>
  <c r="I114" i="8"/>
  <c r="I107" i="8"/>
  <c r="I100" i="8"/>
  <c r="I93" i="8"/>
  <c r="I86" i="8"/>
  <c r="I79" i="8"/>
  <c r="I72" i="8"/>
  <c r="I65" i="8"/>
  <c r="I58" i="8"/>
  <c r="I51" i="8"/>
  <c r="I44" i="8"/>
  <c r="I37" i="8"/>
  <c r="I30" i="8"/>
  <c r="I23" i="8"/>
  <c r="D27" i="4"/>
  <c r="C27" i="4"/>
  <c r="C516" i="8"/>
  <c r="C514" i="8"/>
  <c r="J2" i="8"/>
  <c r="A374" i="8"/>
  <c r="C238" i="8"/>
  <c r="B238" i="8"/>
  <c r="I171" i="8"/>
  <c r="B24" i="6" s="1"/>
  <c r="I191" i="8"/>
  <c r="J50" i="3"/>
  <c r="J49" i="3"/>
  <c r="J47" i="3"/>
  <c r="J38" i="3"/>
  <c r="J30" i="3"/>
  <c r="J26" i="3"/>
  <c r="J25" i="3"/>
  <c r="M158" i="2"/>
  <c r="M155" i="2"/>
  <c r="M149" i="2"/>
  <c r="M147" i="2"/>
  <c r="M146" i="2"/>
  <c r="M145" i="2"/>
  <c r="M144" i="2"/>
  <c r="M136" i="2"/>
  <c r="M135" i="2"/>
  <c r="M133" i="2"/>
  <c r="M131" i="2"/>
  <c r="M130" i="2"/>
  <c r="M129" i="2"/>
  <c r="M128" i="2"/>
  <c r="M126" i="2"/>
  <c r="M125" i="2"/>
  <c r="M124" i="2"/>
  <c r="M123" i="2"/>
  <c r="M117" i="2"/>
  <c r="M115" i="2"/>
  <c r="M114" i="2"/>
  <c r="M112" i="2"/>
  <c r="M111" i="2"/>
  <c r="M110" i="2"/>
  <c r="M109" i="2"/>
  <c r="M108" i="2"/>
  <c r="M107" i="2"/>
  <c r="M105" i="2"/>
  <c r="M98" i="2"/>
  <c r="M97" i="2"/>
  <c r="C21" i="4"/>
  <c r="J83" i="3"/>
  <c r="J73" i="3"/>
  <c r="J72" i="3"/>
  <c r="J70" i="3"/>
  <c r="J69" i="3"/>
  <c r="J68" i="3"/>
  <c r="J66" i="3"/>
  <c r="J64" i="3"/>
  <c r="J61" i="3"/>
  <c r="J60" i="3"/>
  <c r="J58" i="3"/>
  <c r="M88" i="2"/>
  <c r="M85" i="2"/>
  <c r="M80" i="2"/>
  <c r="M81" i="2"/>
  <c r="M82" i="2"/>
  <c r="M84" i="2"/>
  <c r="M79" i="2"/>
  <c r="M73" i="2"/>
  <c r="M74" i="2"/>
  <c r="M75" i="2"/>
  <c r="M76" i="2"/>
  <c r="M77" i="2"/>
  <c r="M72" i="2"/>
  <c r="M67" i="2"/>
  <c r="M69" i="2"/>
  <c r="M70" i="2"/>
  <c r="M58" i="2"/>
  <c r="M59" i="2"/>
  <c r="M60" i="2"/>
  <c r="M61" i="2"/>
  <c r="M55" i="2"/>
  <c r="M53" i="2"/>
  <c r="M52" i="2"/>
  <c r="M47" i="2"/>
  <c r="M48" i="2"/>
  <c r="M49" i="2"/>
  <c r="M51" i="2"/>
  <c r="M40" i="2"/>
  <c r="M41" i="2"/>
  <c r="M42" i="2"/>
  <c r="M43" i="2"/>
  <c r="M44" i="2"/>
  <c r="M39" i="2"/>
  <c r="M37" i="2"/>
  <c r="M36" i="2"/>
  <c r="M34" i="2"/>
  <c r="M91" i="2"/>
  <c r="E47" i="3"/>
  <c r="E26" i="3"/>
  <c r="H60" i="3"/>
  <c r="H58" i="3"/>
  <c r="H57" i="3"/>
  <c r="H83" i="3"/>
  <c r="B365" i="8"/>
  <c r="H73" i="3"/>
  <c r="H72" i="3"/>
  <c r="H69" i="3"/>
  <c r="H66" i="3"/>
  <c r="H49" i="3"/>
  <c r="H47" i="3"/>
  <c r="B283" i="8" s="1"/>
  <c r="B276" i="8"/>
  <c r="B337" i="8"/>
  <c r="H26" i="3"/>
  <c r="B262" i="8" s="1"/>
  <c r="B255" i="8"/>
  <c r="E83" i="3"/>
  <c r="E73" i="3"/>
  <c r="E72" i="3"/>
  <c r="E70" i="3"/>
  <c r="E69" i="3"/>
  <c r="E66" i="3"/>
  <c r="E61" i="3"/>
  <c r="E60" i="3"/>
  <c r="E58" i="3"/>
  <c r="E57" i="3"/>
  <c r="C297" i="8"/>
  <c r="C290" i="8"/>
  <c r="E50" i="3"/>
  <c r="E49" i="3"/>
  <c r="E38" i="3"/>
  <c r="E31" i="3"/>
  <c r="K158" i="2"/>
  <c r="B231" i="8" s="1"/>
  <c r="B217" i="8"/>
  <c r="K147" i="2"/>
  <c r="K146" i="2"/>
  <c r="K144" i="2"/>
  <c r="B203" i="8"/>
  <c r="B196" i="8"/>
  <c r="K136" i="2"/>
  <c r="B182" i="8" s="1"/>
  <c r="K135" i="2"/>
  <c r="B168" i="8"/>
  <c r="B161" i="8"/>
  <c r="K131" i="2"/>
  <c r="K130" i="2"/>
  <c r="K125" i="2"/>
  <c r="K123" i="2"/>
  <c r="B140" i="8"/>
  <c r="K117" i="2"/>
  <c r="K115" i="2"/>
  <c r="K114" i="2"/>
  <c r="K112" i="2"/>
  <c r="K111" i="2"/>
  <c r="K109" i="2"/>
  <c r="K108" i="2"/>
  <c r="K107" i="2"/>
  <c r="K105" i="2"/>
  <c r="K99" i="2"/>
  <c r="K98" i="2"/>
  <c r="C231" i="8"/>
  <c r="C217" i="8"/>
  <c r="I147" i="2"/>
  <c r="I146" i="2"/>
  <c r="I144" i="2"/>
  <c r="I136" i="2"/>
  <c r="C182" i="8" s="1"/>
  <c r="I135" i="2"/>
  <c r="C175" i="8" s="1"/>
  <c r="C168" i="8"/>
  <c r="C161" i="8"/>
  <c r="I131" i="2"/>
  <c r="I130" i="2"/>
  <c r="I125" i="2"/>
  <c r="I123" i="2"/>
  <c r="C140" i="8"/>
  <c r="I117" i="2"/>
  <c r="I115" i="2"/>
  <c r="I114" i="2"/>
  <c r="I112" i="2"/>
  <c r="I111" i="2"/>
  <c r="I109" i="2"/>
  <c r="I108" i="2"/>
  <c r="I107" i="2"/>
  <c r="I105" i="2"/>
  <c r="I98" i="2"/>
  <c r="K88" i="2"/>
  <c r="K81" i="2"/>
  <c r="K82" i="2"/>
  <c r="K84" i="2"/>
  <c r="B112" i="8"/>
  <c r="K79" i="2"/>
  <c r="K73" i="2"/>
  <c r="K74" i="2"/>
  <c r="K75" i="2"/>
  <c r="K77" i="2"/>
  <c r="K72" i="2"/>
  <c r="K61" i="2"/>
  <c r="K55" i="2"/>
  <c r="K48" i="2"/>
  <c r="K49" i="2"/>
  <c r="K51" i="2"/>
  <c r="B63" i="8"/>
  <c r="K53" i="2"/>
  <c r="B70" i="8" s="1"/>
  <c r="K40" i="2"/>
  <c r="K41" i="2"/>
  <c r="K42" i="2"/>
  <c r="K43" i="2"/>
  <c r="K44" i="2"/>
  <c r="K37" i="2"/>
  <c r="K36" i="2"/>
  <c r="K34" i="2"/>
  <c r="I88" i="2"/>
  <c r="P88" i="2" s="1"/>
  <c r="I86" i="2"/>
  <c r="C112" i="8"/>
  <c r="I80" i="2"/>
  <c r="I81" i="2"/>
  <c r="I82" i="2"/>
  <c r="I84" i="2"/>
  <c r="I79" i="2"/>
  <c r="I73" i="2"/>
  <c r="P73" i="2" s="1"/>
  <c r="I74" i="2"/>
  <c r="Q74" i="2" s="1"/>
  <c r="I75" i="2"/>
  <c r="Q76" i="2"/>
  <c r="I77" i="2"/>
  <c r="I72" i="2"/>
  <c r="P66" i="2"/>
  <c r="P67" i="2"/>
  <c r="Q68" i="2"/>
  <c r="P58" i="2"/>
  <c r="I61" i="2"/>
  <c r="Q62" i="2"/>
  <c r="C77" i="8"/>
  <c r="I53" i="2"/>
  <c r="C70" i="8" s="1"/>
  <c r="C63" i="8"/>
  <c r="I48" i="2"/>
  <c r="I49" i="2"/>
  <c r="I51" i="2"/>
  <c r="I40" i="2"/>
  <c r="I41" i="2"/>
  <c r="I42" i="2"/>
  <c r="I43" i="2"/>
  <c r="I44" i="2"/>
  <c r="I37" i="2"/>
  <c r="I36" i="2"/>
  <c r="P28" i="2"/>
  <c r="E2" i="4"/>
  <c r="K2" i="3"/>
  <c r="J2" i="3"/>
  <c r="D21" i="4"/>
  <c r="G160" i="2"/>
  <c r="F160" i="2"/>
  <c r="E160" i="2"/>
  <c r="Q159" i="2"/>
  <c r="P120" i="2"/>
  <c r="G91" i="2"/>
  <c r="F91" i="2"/>
  <c r="E91" i="2"/>
  <c r="E21" i="4"/>
  <c r="Q25" i="2"/>
  <c r="I91" i="2"/>
  <c r="P116" i="2"/>
  <c r="K91" i="2"/>
  <c r="P159" i="2"/>
  <c r="I31" i="2" l="1"/>
  <c r="I56" i="2"/>
  <c r="I122" i="2"/>
  <c r="I143" i="2"/>
  <c r="I99" i="2"/>
  <c r="P99" i="2" s="1"/>
  <c r="Q137" i="2"/>
  <c r="M99" i="2"/>
  <c r="H48" i="3"/>
  <c r="M86" i="2"/>
  <c r="C38" i="4" s="1"/>
  <c r="P72" i="2"/>
  <c r="I71" i="2"/>
  <c r="J39" i="3"/>
  <c r="C30" i="4" s="1"/>
  <c r="I63" i="2"/>
  <c r="K86" i="2"/>
  <c r="H39" i="3"/>
  <c r="I127" i="2"/>
  <c r="K127" i="2"/>
  <c r="P79" i="2"/>
  <c r="I78" i="2"/>
  <c r="E39" i="3"/>
  <c r="M31" i="2"/>
  <c r="K122" i="2"/>
  <c r="E21" i="3"/>
  <c r="G41" i="3" s="1"/>
  <c r="Q116" i="2"/>
  <c r="K38" i="2"/>
  <c r="I150" i="2"/>
  <c r="H27" i="3"/>
  <c r="E48" i="3"/>
  <c r="J21" i="3"/>
  <c r="J48" i="3"/>
  <c r="K31" i="2"/>
  <c r="M72" i="3"/>
  <c r="E71" i="3"/>
  <c r="N68" i="3"/>
  <c r="E67" i="3"/>
  <c r="N64" i="3"/>
  <c r="E63" i="3"/>
  <c r="M36" i="3"/>
  <c r="E35" i="3"/>
  <c r="M33" i="3"/>
  <c r="E32" i="3"/>
  <c r="N28" i="3"/>
  <c r="E27" i="3"/>
  <c r="I38" i="2"/>
  <c r="I35" i="2"/>
  <c r="I45" i="2"/>
  <c r="C56" i="8" s="1"/>
  <c r="M49" i="3"/>
  <c r="B344" i="8"/>
  <c r="M40" i="3"/>
  <c r="H21" i="3"/>
  <c r="I41" i="3" s="1"/>
  <c r="M23" i="3"/>
  <c r="N23" i="3"/>
  <c r="J71" i="3"/>
  <c r="K35" i="2"/>
  <c r="B42" i="8" s="1"/>
  <c r="K106" i="2"/>
  <c r="D70" i="8"/>
  <c r="A67" i="8" s="1"/>
  <c r="I66" i="8" s="1"/>
  <c r="B9" i="6" s="1"/>
  <c r="Q82" i="2"/>
  <c r="P125" i="2"/>
  <c r="Q130" i="2"/>
  <c r="P134" i="2"/>
  <c r="P151" i="2"/>
  <c r="P155" i="2"/>
  <c r="J67" i="3"/>
  <c r="Q33" i="2"/>
  <c r="P32" i="2"/>
  <c r="P81" i="2"/>
  <c r="C147" i="8"/>
  <c r="P128" i="2"/>
  <c r="Q132" i="2"/>
  <c r="D217" i="8"/>
  <c r="A214" i="8" s="1"/>
  <c r="I213" i="8" s="1"/>
  <c r="B30" i="6" s="1"/>
  <c r="Q22" i="2"/>
  <c r="Q23" i="2"/>
  <c r="P25" i="2"/>
  <c r="D231" i="8"/>
  <c r="A228" i="8" s="1"/>
  <c r="I227" i="8" s="1"/>
  <c r="B32" i="6" s="1"/>
  <c r="Q158" i="2"/>
  <c r="P115" i="2"/>
  <c r="D161" i="8"/>
  <c r="A158" i="8" s="1"/>
  <c r="I157" i="8" s="1"/>
  <c r="B22" i="6" s="1"/>
  <c r="P146" i="2"/>
  <c r="Q151" i="2"/>
  <c r="Q155" i="2"/>
  <c r="H32" i="3"/>
  <c r="B269" i="8" s="1"/>
  <c r="H71" i="3"/>
  <c r="M106" i="2"/>
  <c r="P49" i="2"/>
  <c r="Q146" i="2"/>
  <c r="Q48" i="2"/>
  <c r="P64" i="2"/>
  <c r="Q58" i="2"/>
  <c r="Q32" i="2"/>
  <c r="Q46" i="2"/>
  <c r="M35" i="2"/>
  <c r="Q84" i="2"/>
  <c r="K78" i="2"/>
  <c r="B105" i="8" s="1"/>
  <c r="Q108" i="2"/>
  <c r="D140" i="8"/>
  <c r="A137" i="8" s="1"/>
  <c r="I136" i="8" s="1"/>
  <c r="B19" i="6" s="1"/>
  <c r="P131" i="2"/>
  <c r="Q135" i="2"/>
  <c r="D112" i="8"/>
  <c r="A109" i="8" s="1"/>
  <c r="I108" i="8" s="1"/>
  <c r="B15" i="6" s="1"/>
  <c r="J55" i="3"/>
  <c r="M95" i="2"/>
  <c r="J35" i="3"/>
  <c r="C28" i="4" s="1"/>
  <c r="C29" i="4" s="1"/>
  <c r="Q47" i="2"/>
  <c r="P147" i="2"/>
  <c r="D182" i="8"/>
  <c r="A179" i="8" s="1"/>
  <c r="I178" i="8" s="1"/>
  <c r="B25" i="6" s="1"/>
  <c r="D290" i="8"/>
  <c r="A287" i="8" s="1"/>
  <c r="I286" i="8" s="1"/>
  <c r="B40" i="6" s="1"/>
  <c r="M78" i="2"/>
  <c r="M127" i="2"/>
  <c r="B189" i="8"/>
  <c r="D189" i="8" s="1"/>
  <c r="A186" i="8" s="1"/>
  <c r="I185" i="8" s="1"/>
  <c r="B26" i="6" s="1"/>
  <c r="Q131" i="2"/>
  <c r="P137" i="2"/>
  <c r="P22" i="2"/>
  <c r="P84" i="2"/>
  <c r="P119" i="2"/>
  <c r="Q147" i="2"/>
  <c r="P50" i="2"/>
  <c r="Q80" i="2"/>
  <c r="B49" i="8"/>
  <c r="K45" i="2"/>
  <c r="K56" i="2"/>
  <c r="K71" i="2"/>
  <c r="B98" i="8" s="1"/>
  <c r="Q100" i="2"/>
  <c r="P108" i="2"/>
  <c r="Q112" i="2"/>
  <c r="Q156" i="2"/>
  <c r="P23" i="2"/>
  <c r="P48" i="2"/>
  <c r="Q53" i="2"/>
  <c r="P61" i="2"/>
  <c r="Q64" i="2"/>
  <c r="Q67" i="2"/>
  <c r="Q73" i="2"/>
  <c r="P158" i="2"/>
  <c r="Q61" i="2"/>
  <c r="Q85" i="2"/>
  <c r="Q34" i="2"/>
  <c r="P52" i="2"/>
  <c r="P62" i="2"/>
  <c r="P68" i="2"/>
  <c r="Q72" i="2"/>
  <c r="P74" i="2"/>
  <c r="P37" i="2"/>
  <c r="P42" i="2"/>
  <c r="Q98" i="2"/>
  <c r="P107" i="2"/>
  <c r="Q117" i="2"/>
  <c r="Q139" i="2"/>
  <c r="Q157" i="2"/>
  <c r="Q115" i="2"/>
  <c r="B154" i="8"/>
  <c r="P33" i="2"/>
  <c r="D63" i="8"/>
  <c r="A60" i="8" s="1"/>
  <c r="I59" i="8" s="1"/>
  <c r="B8" i="6" s="1"/>
  <c r="Q27" i="2"/>
  <c r="P154" i="2"/>
  <c r="D168" i="8"/>
  <c r="A165" i="8" s="1"/>
  <c r="I164" i="8" s="1"/>
  <c r="B23" i="6" s="1"/>
  <c r="P85" i="2"/>
  <c r="P69" i="2"/>
  <c r="Q65" i="2"/>
  <c r="Q81" i="2"/>
  <c r="Q148" i="2"/>
  <c r="Q128" i="2"/>
  <c r="P135" i="2"/>
  <c r="P149" i="2"/>
  <c r="P133" i="2"/>
  <c r="Q133" i="2"/>
  <c r="Q154" i="2"/>
  <c r="P59" i="2"/>
  <c r="Q50" i="2"/>
  <c r="Q66" i="2"/>
  <c r="P76" i="2"/>
  <c r="P124" i="2"/>
  <c r="K95" i="2"/>
  <c r="B175" i="8"/>
  <c r="D175" i="8" s="1"/>
  <c r="P157" i="2"/>
  <c r="Q59" i="2"/>
  <c r="P65" i="2"/>
  <c r="I106" i="2"/>
  <c r="P100" i="2"/>
  <c r="P57" i="2"/>
  <c r="Q107" i="2"/>
  <c r="Q88" i="2"/>
  <c r="K150" i="2"/>
  <c r="B224" i="8" s="1"/>
  <c r="H35" i="3"/>
  <c r="B323" i="8" s="1"/>
  <c r="M38" i="2"/>
  <c r="M45" i="2"/>
  <c r="M71" i="2"/>
  <c r="Q69" i="2"/>
  <c r="Q125" i="2"/>
  <c r="P98" i="2"/>
  <c r="P80" i="2"/>
  <c r="Q37" i="2"/>
  <c r="Q42" i="2"/>
  <c r="H67" i="3"/>
  <c r="M56" i="2"/>
  <c r="J63" i="3"/>
  <c r="C31" i="4" s="1"/>
  <c r="M113" i="2"/>
  <c r="B297" i="8"/>
  <c r="D297" i="8" s="1"/>
  <c r="A294" i="8" s="1"/>
  <c r="I293" i="8" s="1"/>
  <c r="B41" i="6" s="1"/>
  <c r="P27" i="2"/>
  <c r="Q39" i="2"/>
  <c r="P39" i="2"/>
  <c r="M143" i="2"/>
  <c r="M63" i="2"/>
  <c r="J27" i="3"/>
  <c r="Q26" i="2"/>
  <c r="P26" i="2"/>
  <c r="P24" i="2"/>
  <c r="Q24" i="2"/>
  <c r="Q118" i="2"/>
  <c r="P118" i="2"/>
  <c r="P44" i="2"/>
  <c r="Q44" i="2"/>
  <c r="B77" i="8"/>
  <c r="D77" i="8" s="1"/>
  <c r="A74" i="8" s="1"/>
  <c r="I73" i="8" s="1"/>
  <c r="B10" i="6" s="1"/>
  <c r="P55" i="2"/>
  <c r="Q87" i="2"/>
  <c r="P111" i="2"/>
  <c r="Q111" i="2"/>
  <c r="P129" i="2"/>
  <c r="Q129" i="2"/>
  <c r="Q136" i="2"/>
  <c r="P136" i="2"/>
  <c r="Q145" i="2"/>
  <c r="C203" i="8"/>
  <c r="D203" i="8" s="1"/>
  <c r="A200" i="8" s="1"/>
  <c r="I199" i="8" s="1"/>
  <c r="B28" i="6" s="1"/>
  <c r="Q152" i="2"/>
  <c r="P152" i="2"/>
  <c r="K113" i="2"/>
  <c r="Q114" i="2"/>
  <c r="Q123" i="2"/>
  <c r="P123" i="2"/>
  <c r="P144" i="2"/>
  <c r="Q144" i="2"/>
  <c r="N22" i="3"/>
  <c r="M31" i="3"/>
  <c r="Q79" i="2"/>
  <c r="Q124" i="2"/>
  <c r="P41" i="2"/>
  <c r="Q41" i="2"/>
  <c r="P47" i="2"/>
  <c r="P112" i="2"/>
  <c r="P83" i="2"/>
  <c r="P97" i="2"/>
  <c r="Q105" i="2"/>
  <c r="Q126" i="2"/>
  <c r="Q134" i="2"/>
  <c r="M122" i="2"/>
  <c r="M150" i="2"/>
  <c r="J32" i="3"/>
  <c r="Q57" i="2"/>
  <c r="K63" i="2"/>
  <c r="P82" i="2"/>
  <c r="Q153" i="2"/>
  <c r="H63" i="3"/>
  <c r="B351" i="8" s="1"/>
  <c r="Q49" i="2"/>
  <c r="P53" i="2"/>
  <c r="Q43" i="2"/>
  <c r="P46" i="2"/>
  <c r="Q52" i="2"/>
  <c r="P96" i="2"/>
  <c r="P101" i="2"/>
  <c r="Q109" i="2"/>
  <c r="P114" i="2"/>
  <c r="K143" i="2"/>
  <c r="C276" i="8"/>
  <c r="D276" i="8" s="1"/>
  <c r="A273" i="8" s="1"/>
  <c r="I272" i="8" s="1"/>
  <c r="B38" i="6" s="1"/>
  <c r="Q36" i="2"/>
  <c r="P36" i="2"/>
  <c r="Q40" i="2"/>
  <c r="P40" i="2"/>
  <c r="Q70" i="2"/>
  <c r="P70" i="2"/>
  <c r="Q77" i="2"/>
  <c r="P77" i="2"/>
  <c r="Q60" i="2"/>
  <c r="P60" i="2"/>
  <c r="P75" i="2"/>
  <c r="Q75" i="2"/>
  <c r="P34" i="2"/>
  <c r="Q28" i="2"/>
  <c r="P51" i="2"/>
  <c r="Q51" i="2"/>
  <c r="Q55" i="2"/>
  <c r="Q83" i="2"/>
  <c r="C196" i="8"/>
  <c r="C262" i="8"/>
  <c r="C283" i="8"/>
  <c r="I113" i="2"/>
  <c r="I95" i="2"/>
  <c r="Q101" i="2"/>
  <c r="P153" i="2"/>
  <c r="P145" i="2"/>
  <c r="Q119" i="2"/>
  <c r="P109" i="2"/>
  <c r="P43" i="2"/>
  <c r="P87" i="2"/>
  <c r="Q96" i="2"/>
  <c r="P126" i="2"/>
  <c r="P130" i="2"/>
  <c r="P148" i="2"/>
  <c r="P156" i="2"/>
  <c r="C255" i="8"/>
  <c r="C337" i="8"/>
  <c r="Q97" i="2"/>
  <c r="P139" i="2"/>
  <c r="P105" i="2"/>
  <c r="P117" i="2"/>
  <c r="Q149" i="2"/>
  <c r="C365" i="8"/>
  <c r="N45" i="3"/>
  <c r="M45" i="3"/>
  <c r="M26" i="3"/>
  <c r="N26" i="3"/>
  <c r="N29" i="3"/>
  <c r="M29" i="3"/>
  <c r="N50" i="3"/>
  <c r="M50" i="3"/>
  <c r="M80" i="3"/>
  <c r="N80" i="3"/>
  <c r="N74" i="3"/>
  <c r="M74" i="3"/>
  <c r="M38" i="3"/>
  <c r="N38" i="3"/>
  <c r="M60" i="3"/>
  <c r="N60" i="3"/>
  <c r="M73" i="3"/>
  <c r="N73" i="3"/>
  <c r="M52" i="3"/>
  <c r="N52" i="3"/>
  <c r="N25" i="3"/>
  <c r="M25" i="3"/>
  <c r="M30" i="3"/>
  <c r="N30" i="3"/>
  <c r="N53" i="3"/>
  <c r="M53" i="3"/>
  <c r="M65" i="3"/>
  <c r="N65" i="3"/>
  <c r="N83" i="3"/>
  <c r="M83" i="3"/>
  <c r="N37" i="3"/>
  <c r="M37" i="3"/>
  <c r="N46" i="3"/>
  <c r="M46" i="3"/>
  <c r="M34" i="3"/>
  <c r="N34" i="3"/>
  <c r="N57" i="3"/>
  <c r="M57" i="3"/>
  <c r="M69" i="3"/>
  <c r="N69" i="3"/>
  <c r="N82" i="3"/>
  <c r="M82" i="3"/>
  <c r="N61" i="3"/>
  <c r="M61" i="3"/>
  <c r="N66" i="3"/>
  <c r="M66" i="3"/>
  <c r="M47" i="3"/>
  <c r="N47" i="3"/>
  <c r="N58" i="3"/>
  <c r="M58" i="3"/>
  <c r="N70" i="3"/>
  <c r="M70" i="3"/>
  <c r="D238" i="8"/>
  <c r="A235" i="8" s="1"/>
  <c r="I234" i="8" s="1"/>
  <c r="B33" i="6" s="1"/>
  <c r="K42" i="3" l="1"/>
  <c r="K41" i="3"/>
  <c r="G43" i="3"/>
  <c r="G42" i="3"/>
  <c r="I43" i="3"/>
  <c r="I42" i="3"/>
  <c r="K44" i="3"/>
  <c r="K43" i="3"/>
  <c r="G77" i="3"/>
  <c r="G44" i="3"/>
  <c r="I72" i="3"/>
  <c r="I44" i="3"/>
  <c r="I121" i="2"/>
  <c r="G24" i="3"/>
  <c r="C344" i="8"/>
  <c r="D344" i="8" s="1"/>
  <c r="A341" i="8" s="1"/>
  <c r="I340" i="8" s="1"/>
  <c r="B47" i="6" s="1"/>
  <c r="I138" i="2"/>
  <c r="I39" i="3"/>
  <c r="G76" i="3"/>
  <c r="N49" i="3"/>
  <c r="I20" i="2"/>
  <c r="G75" i="3"/>
  <c r="M68" i="3"/>
  <c r="G62" i="3"/>
  <c r="M39" i="3"/>
  <c r="N33" i="3"/>
  <c r="H54" i="3"/>
  <c r="D32" i="4" s="1"/>
  <c r="H55" i="3"/>
  <c r="I55" i="3" s="1"/>
  <c r="B84" i="8"/>
  <c r="K54" i="2"/>
  <c r="C84" i="8"/>
  <c r="I54" i="2"/>
  <c r="N36" i="3"/>
  <c r="N31" i="3"/>
  <c r="M28" i="3"/>
  <c r="M64" i="3"/>
  <c r="K51" i="3"/>
  <c r="N72" i="3"/>
  <c r="E55" i="3"/>
  <c r="E78" i="3" s="1"/>
  <c r="Q56" i="2"/>
  <c r="M94" i="2"/>
  <c r="M93" i="2" s="1"/>
  <c r="K76" i="3"/>
  <c r="K77" i="3"/>
  <c r="K75" i="3"/>
  <c r="B358" i="8"/>
  <c r="D30" i="4"/>
  <c r="I23" i="3"/>
  <c r="I62" i="3"/>
  <c r="I75" i="3"/>
  <c r="I76" i="3"/>
  <c r="I77" i="3"/>
  <c r="I31" i="3"/>
  <c r="P106" i="2"/>
  <c r="N40" i="3"/>
  <c r="C224" i="8"/>
  <c r="D224" i="8" s="1"/>
  <c r="A221" i="8" s="1"/>
  <c r="I220" i="8" s="1"/>
  <c r="B31" i="6" s="1"/>
  <c r="M56" i="3"/>
  <c r="I51" i="3"/>
  <c r="G51" i="3"/>
  <c r="I22" i="3"/>
  <c r="I24" i="3"/>
  <c r="J78" i="3"/>
  <c r="K78" i="3" s="1"/>
  <c r="K45" i="3"/>
  <c r="K24" i="3"/>
  <c r="Q140" i="2"/>
  <c r="P140" i="2"/>
  <c r="K82" i="3"/>
  <c r="C330" i="8"/>
  <c r="B248" i="8"/>
  <c r="D28" i="4"/>
  <c r="D29" i="4" s="1"/>
  <c r="G35" i="3"/>
  <c r="P122" i="2"/>
  <c r="I60" i="3"/>
  <c r="I83" i="3"/>
  <c r="K68" i="3"/>
  <c r="I67" i="3"/>
  <c r="I50" i="3"/>
  <c r="K52" i="3"/>
  <c r="I56" i="3"/>
  <c r="I82" i="3"/>
  <c r="I52" i="3"/>
  <c r="I61" i="3"/>
  <c r="K46" i="3"/>
  <c r="K72" i="3"/>
  <c r="K57" i="3"/>
  <c r="I46" i="3"/>
  <c r="I37" i="3"/>
  <c r="I29" i="3"/>
  <c r="I25" i="3"/>
  <c r="I27" i="3"/>
  <c r="I64" i="3"/>
  <c r="I80" i="3"/>
  <c r="I21" i="3"/>
  <c r="P56" i="2"/>
  <c r="I34" i="3"/>
  <c r="I30" i="3"/>
  <c r="I63" i="3"/>
  <c r="G23" i="3"/>
  <c r="K73" i="3"/>
  <c r="K30" i="3"/>
  <c r="I70" i="3"/>
  <c r="I49" i="3"/>
  <c r="I28" i="3"/>
  <c r="D25" i="4"/>
  <c r="I47" i="3"/>
  <c r="I38" i="3"/>
  <c r="I71" i="3"/>
  <c r="I32" i="3"/>
  <c r="I74" i="3"/>
  <c r="I73" i="3"/>
  <c r="I35" i="3"/>
  <c r="B330" i="8"/>
  <c r="I65" i="3"/>
  <c r="I68" i="3"/>
  <c r="G32" i="3"/>
  <c r="K60" i="3"/>
  <c r="C25" i="4"/>
  <c r="K53" i="3"/>
  <c r="I57" i="3"/>
  <c r="I66" i="3"/>
  <c r="I58" i="3"/>
  <c r="I26" i="3"/>
  <c r="I69" i="3"/>
  <c r="I40" i="3"/>
  <c r="I45" i="3"/>
  <c r="I36" i="3"/>
  <c r="K32" i="3"/>
  <c r="I53" i="3"/>
  <c r="I33" i="3"/>
  <c r="K21" i="3"/>
  <c r="K63" i="3"/>
  <c r="K50" i="3"/>
  <c r="Q45" i="2"/>
  <c r="G60" i="3"/>
  <c r="G40" i="3"/>
  <c r="I59" i="3"/>
  <c r="B56" i="8"/>
  <c r="D56" i="8" s="1"/>
  <c r="A53" i="8" s="1"/>
  <c r="I52" i="8" s="1"/>
  <c r="B7" i="6" s="1"/>
  <c r="I48" i="3"/>
  <c r="N63" i="3"/>
  <c r="C351" i="8"/>
  <c r="D351" i="8" s="1"/>
  <c r="A348" i="8" s="1"/>
  <c r="I347" i="8" s="1"/>
  <c r="B48" i="6" s="1"/>
  <c r="N59" i="3"/>
  <c r="G34" i="3"/>
  <c r="K29" i="3"/>
  <c r="K66" i="3"/>
  <c r="P150" i="2"/>
  <c r="G58" i="3"/>
  <c r="G69" i="3"/>
  <c r="G61" i="3"/>
  <c r="G64" i="3"/>
  <c r="G71" i="3"/>
  <c r="G47" i="3"/>
  <c r="G50" i="3"/>
  <c r="C248" i="8"/>
  <c r="G39" i="3"/>
  <c r="Q106" i="2"/>
  <c r="M59" i="3"/>
  <c r="G66" i="3"/>
  <c r="G29" i="3"/>
  <c r="G63" i="3"/>
  <c r="G31" i="3"/>
  <c r="G27" i="3"/>
  <c r="G48" i="3"/>
  <c r="G46" i="3"/>
  <c r="G30" i="3"/>
  <c r="G67" i="3"/>
  <c r="C323" i="8"/>
  <c r="D323" i="8" s="1"/>
  <c r="A320" i="8" s="1"/>
  <c r="I319" i="8" s="1"/>
  <c r="B44" i="6" s="1"/>
  <c r="G56" i="3"/>
  <c r="G83" i="3"/>
  <c r="G70" i="3"/>
  <c r="G65" i="3"/>
  <c r="G38" i="3"/>
  <c r="G68" i="3"/>
  <c r="G59" i="3"/>
  <c r="B316" i="8"/>
  <c r="D24" i="4"/>
  <c r="D110" i="4" s="1"/>
  <c r="M32" i="3"/>
  <c r="C269" i="8"/>
  <c r="D269" i="8" s="1"/>
  <c r="A266" i="8" s="1"/>
  <c r="I265" i="8" s="1"/>
  <c r="B37" i="6" s="1"/>
  <c r="C358" i="8"/>
  <c r="Q143" i="2"/>
  <c r="C210" i="8"/>
  <c r="P143" i="2"/>
  <c r="B91" i="8"/>
  <c r="K22" i="3"/>
  <c r="K69" i="3"/>
  <c r="K35" i="3"/>
  <c r="K31" i="3"/>
  <c r="K67" i="3"/>
  <c r="K70" i="3"/>
  <c r="K47" i="3"/>
  <c r="K65" i="3"/>
  <c r="K33" i="3"/>
  <c r="K48" i="3"/>
  <c r="K37" i="3"/>
  <c r="K64" i="3"/>
  <c r="K49" i="3"/>
  <c r="K28" i="3"/>
  <c r="K36" i="3"/>
  <c r="K74" i="3"/>
  <c r="K58" i="3"/>
  <c r="K80" i="3"/>
  <c r="K26" i="3"/>
  <c r="K56" i="3"/>
  <c r="C316" i="8"/>
  <c r="E54" i="3"/>
  <c r="J54" i="3"/>
  <c r="K27" i="3"/>
  <c r="C24" i="4"/>
  <c r="C110" i="4" s="1"/>
  <c r="K71" i="3"/>
  <c r="M138" i="2"/>
  <c r="P45" i="2"/>
  <c r="M54" i="2"/>
  <c r="C154" i="8"/>
  <c r="P127" i="2"/>
  <c r="Q127" i="2"/>
  <c r="E49" i="4"/>
  <c r="D38" i="4"/>
  <c r="B119" i="8"/>
  <c r="K39" i="3"/>
  <c r="K23" i="3"/>
  <c r="K59" i="3"/>
  <c r="K83" i="3"/>
  <c r="M20" i="2"/>
  <c r="P35" i="2"/>
  <c r="C42" i="8"/>
  <c r="D42" i="8" s="1"/>
  <c r="A39" i="8" s="1"/>
  <c r="I38" i="8" s="1"/>
  <c r="B5" i="6" s="1"/>
  <c r="Q35" i="2"/>
  <c r="M22" i="3"/>
  <c r="D31" i="4"/>
  <c r="K38" i="3"/>
  <c r="K61" i="3"/>
  <c r="K40" i="3"/>
  <c r="K25" i="3"/>
  <c r="Q150" i="2"/>
  <c r="B210" i="8"/>
  <c r="K138" i="2"/>
  <c r="D49" i="4" s="1"/>
  <c r="M121" i="2"/>
  <c r="G33" i="3"/>
  <c r="G53" i="3"/>
  <c r="G52" i="3"/>
  <c r="G73" i="3"/>
  <c r="G28" i="3"/>
  <c r="G21" i="3"/>
  <c r="G74" i="3"/>
  <c r="G26" i="3"/>
  <c r="G82" i="3"/>
  <c r="G25" i="3"/>
  <c r="G57" i="3"/>
  <c r="G37" i="3"/>
  <c r="G36" i="3"/>
  <c r="G22" i="3"/>
  <c r="G49" i="3"/>
  <c r="G72" i="3"/>
  <c r="G45" i="3"/>
  <c r="G80" i="3"/>
  <c r="B147" i="8"/>
  <c r="D147" i="8" s="1"/>
  <c r="A144" i="8" s="1"/>
  <c r="I143" i="8" s="1"/>
  <c r="B20" i="6" s="1"/>
  <c r="K121" i="2"/>
  <c r="B133" i="8"/>
  <c r="Q122" i="2"/>
  <c r="K20" i="2"/>
  <c r="K55" i="3"/>
  <c r="K34" i="3"/>
  <c r="D196" i="8"/>
  <c r="A193" i="8" s="1"/>
  <c r="I192" i="8" s="1"/>
  <c r="B27" i="6" s="1"/>
  <c r="P95" i="2"/>
  <c r="Q95" i="2"/>
  <c r="D262" i="8"/>
  <c r="A259" i="8" s="1"/>
  <c r="I258" i="8" s="1"/>
  <c r="B36" i="6" s="1"/>
  <c r="C28" i="8"/>
  <c r="P21" i="2"/>
  <c r="Q21" i="2"/>
  <c r="C119" i="8"/>
  <c r="E38" i="4"/>
  <c r="Q86" i="2"/>
  <c r="P86" i="2"/>
  <c r="D337" i="8"/>
  <c r="A334" i="8" s="1"/>
  <c r="I333" i="8" s="1"/>
  <c r="B46" i="6" s="1"/>
  <c r="Q99" i="2"/>
  <c r="C105" i="8"/>
  <c r="Q78" i="2"/>
  <c r="P78" i="2"/>
  <c r="C35" i="8"/>
  <c r="P31" i="2"/>
  <c r="Q31" i="2"/>
  <c r="C91" i="8"/>
  <c r="Q63" i="2"/>
  <c r="P63" i="2"/>
  <c r="Q113" i="2"/>
  <c r="P113" i="2"/>
  <c r="C133" i="8"/>
  <c r="C98" i="8"/>
  <c r="Q71" i="2"/>
  <c r="P71" i="2"/>
  <c r="E132" i="4"/>
  <c r="D365" i="8"/>
  <c r="A362" i="8" s="1"/>
  <c r="I361" i="8" s="1"/>
  <c r="B50" i="6" s="1"/>
  <c r="D255" i="8"/>
  <c r="A252" i="8" s="1"/>
  <c r="I251" i="8" s="1"/>
  <c r="B35" i="6" s="1"/>
  <c r="D283" i="8"/>
  <c r="A280" i="8" s="1"/>
  <c r="I279" i="8" s="1"/>
  <c r="B39" i="6" s="1"/>
  <c r="C49" i="8"/>
  <c r="Q38" i="2"/>
  <c r="P38" i="2"/>
  <c r="N67" i="3"/>
  <c r="M67" i="3"/>
  <c r="N71" i="3"/>
  <c r="M71" i="3"/>
  <c r="N39" i="3"/>
  <c r="N48" i="3"/>
  <c r="M48" i="3"/>
  <c r="N32" i="3"/>
  <c r="H78" i="3" l="1"/>
  <c r="H79" i="3" s="1"/>
  <c r="N56" i="3"/>
  <c r="B304" i="8"/>
  <c r="E79" i="3"/>
  <c r="M21" i="3"/>
  <c r="D84" i="8"/>
  <c r="A81" i="8" s="1"/>
  <c r="I80" i="8" s="1"/>
  <c r="B11" i="6" s="1"/>
  <c r="D330" i="8"/>
  <c r="A327" i="8" s="1"/>
  <c r="I326" i="8" s="1"/>
  <c r="B45" i="6" s="1"/>
  <c r="C66" i="4"/>
  <c r="C67" i="4" s="1"/>
  <c r="D358" i="8"/>
  <c r="A355" i="8" s="1"/>
  <c r="I354" i="8" s="1"/>
  <c r="B49" i="6" s="1"/>
  <c r="I54" i="3"/>
  <c r="D248" i="8"/>
  <c r="A245" i="8" s="1"/>
  <c r="I244" i="8" s="1"/>
  <c r="B34" i="6" s="1"/>
  <c r="N55" i="3"/>
  <c r="M35" i="3"/>
  <c r="C86" i="4"/>
  <c r="J79" i="3"/>
  <c r="C33" i="4" s="1"/>
  <c r="C106" i="4"/>
  <c r="G55" i="3"/>
  <c r="C304" i="8"/>
  <c r="C26" i="4"/>
  <c r="D58" i="4"/>
  <c r="N35" i="3"/>
  <c r="E86" i="4"/>
  <c r="N21" i="3"/>
  <c r="D106" i="4"/>
  <c r="M63" i="3"/>
  <c r="M55" i="3"/>
  <c r="D86" i="4"/>
  <c r="D316" i="8"/>
  <c r="A313" i="8" s="1"/>
  <c r="I312" i="8" s="1"/>
  <c r="B43" i="6" s="1"/>
  <c r="N27" i="3"/>
  <c r="D66" i="4"/>
  <c r="D67" i="4" s="1"/>
  <c r="D26" i="4"/>
  <c r="D210" i="8"/>
  <c r="A207" i="8" s="1"/>
  <c r="I206" i="8" s="1"/>
  <c r="B29" i="6" s="1"/>
  <c r="M27" i="3"/>
  <c r="K89" i="2"/>
  <c r="G78" i="3"/>
  <c r="D41" i="4"/>
  <c r="D128" i="4"/>
  <c r="C41" i="4"/>
  <c r="C128" i="4"/>
  <c r="D42" i="4"/>
  <c r="M89" i="2"/>
  <c r="D154" i="8"/>
  <c r="A151" i="8" s="1"/>
  <c r="I150" i="8" s="1"/>
  <c r="B21" i="6" s="1"/>
  <c r="C42" i="4"/>
  <c r="M160" i="2"/>
  <c r="C49" i="4"/>
  <c r="C132" i="4"/>
  <c r="C32" i="4"/>
  <c r="K54" i="3"/>
  <c r="P121" i="2"/>
  <c r="C40" i="4"/>
  <c r="C121" i="4" s="1"/>
  <c r="D132" i="4"/>
  <c r="G132" i="4" s="1"/>
  <c r="A133" i="4" s="1"/>
  <c r="G54" i="3"/>
  <c r="P138" i="2"/>
  <c r="Q138" i="2"/>
  <c r="E42" i="4"/>
  <c r="Q121" i="2"/>
  <c r="J132" i="4"/>
  <c r="M132" i="4" s="1"/>
  <c r="H132" i="4"/>
  <c r="K132" i="4" s="1"/>
  <c r="I132" i="4"/>
  <c r="L132" i="4" s="1"/>
  <c r="D98" i="8"/>
  <c r="A95" i="8" s="1"/>
  <c r="I94" i="8" s="1"/>
  <c r="B13" i="6" s="1"/>
  <c r="D28" i="8"/>
  <c r="A25" i="8" s="1"/>
  <c r="I24" i="8" s="1"/>
  <c r="B3" i="6" s="1"/>
  <c r="D49" i="8"/>
  <c r="A46" i="8" s="1"/>
  <c r="I45" i="8" s="1"/>
  <c r="B6" i="6" s="1"/>
  <c r="D105" i="8"/>
  <c r="A102" i="8" s="1"/>
  <c r="I101" i="8" s="1"/>
  <c r="B14" i="6" s="1"/>
  <c r="D52" i="4"/>
  <c r="E41" i="4"/>
  <c r="E128" i="4"/>
  <c r="Q54" i="2"/>
  <c r="P54" i="2"/>
  <c r="D133" i="8"/>
  <c r="A130" i="8" s="1"/>
  <c r="I129" i="8" s="1"/>
  <c r="B18" i="6" s="1"/>
  <c r="Q20" i="2"/>
  <c r="P20" i="2"/>
  <c r="I89" i="2"/>
  <c r="D91" i="8"/>
  <c r="A88" i="8" s="1"/>
  <c r="I87" i="8" s="1"/>
  <c r="B12" i="6" s="1"/>
  <c r="D35" i="8"/>
  <c r="A32" i="8" s="1"/>
  <c r="I31" i="8" s="1"/>
  <c r="B4" i="6" s="1"/>
  <c r="D119" i="8"/>
  <c r="A116" i="8" s="1"/>
  <c r="I115" i="8" s="1"/>
  <c r="B16" i="6" s="1"/>
  <c r="E110" i="4"/>
  <c r="E58" i="4"/>
  <c r="E66" i="4"/>
  <c r="E106" i="4"/>
  <c r="N103" i="2" l="1"/>
  <c r="N104" i="2"/>
  <c r="D304" i="8"/>
  <c r="A301" i="8" s="1"/>
  <c r="I300" i="8" s="1"/>
  <c r="B42" i="6" s="1"/>
  <c r="J81" i="3"/>
  <c r="K86" i="3" s="1"/>
  <c r="K79" i="3"/>
  <c r="N78" i="3"/>
  <c r="I78" i="3"/>
  <c r="D71" i="4"/>
  <c r="M78" i="3"/>
  <c r="N141" i="2"/>
  <c r="N142" i="2"/>
  <c r="N121" i="2"/>
  <c r="N102" i="2"/>
  <c r="N54" i="2"/>
  <c r="N30" i="2"/>
  <c r="N29" i="2"/>
  <c r="L29" i="2"/>
  <c r="L30" i="2"/>
  <c r="J29" i="2"/>
  <c r="J30" i="2"/>
  <c r="H86" i="4"/>
  <c r="K86" i="4" s="1"/>
  <c r="G86" i="4"/>
  <c r="A87" i="4" s="1"/>
  <c r="N93" i="2"/>
  <c r="N132" i="4"/>
  <c r="N138" i="2"/>
  <c r="I79" i="3"/>
  <c r="D33" i="4"/>
  <c r="H81" i="3"/>
  <c r="I86" i="4"/>
  <c r="L86" i="4" s="1"/>
  <c r="J86" i="4"/>
  <c r="M86" i="4" s="1"/>
  <c r="C52" i="4"/>
  <c r="N129" i="2"/>
  <c r="N133" i="2"/>
  <c r="N123" i="2"/>
  <c r="N157" i="2"/>
  <c r="N126" i="2"/>
  <c r="N96" i="2"/>
  <c r="N100" i="2"/>
  <c r="N149" i="2"/>
  <c r="N153" i="2"/>
  <c r="N131" i="2"/>
  <c r="N135" i="2"/>
  <c r="N99" i="2"/>
  <c r="N132" i="2"/>
  <c r="N124" i="2"/>
  <c r="N105" i="2"/>
  <c r="N154" i="2"/>
  <c r="N115" i="2"/>
  <c r="N151" i="2"/>
  <c r="N108" i="2"/>
  <c r="N145" i="2"/>
  <c r="N128" i="2"/>
  <c r="N112" i="2"/>
  <c r="N97" i="2"/>
  <c r="N146" i="2"/>
  <c r="N95" i="2"/>
  <c r="N120" i="2"/>
  <c r="N110" i="2"/>
  <c r="N158" i="2"/>
  <c r="N144" i="2"/>
  <c r="N114" i="2"/>
  <c r="N160" i="2"/>
  <c r="N119" i="2"/>
  <c r="N152" i="2"/>
  <c r="C98" i="4"/>
  <c r="N101" i="2"/>
  <c r="N159" i="2"/>
  <c r="N155" i="2"/>
  <c r="N136" i="2"/>
  <c r="N130" i="2"/>
  <c r="N109" i="2"/>
  <c r="N156" i="2"/>
  <c r="N147" i="2"/>
  <c r="N140" i="2"/>
  <c r="N117" i="2"/>
  <c r="N148" i="2"/>
  <c r="N111" i="2"/>
  <c r="N137" i="2"/>
  <c r="N118" i="2"/>
  <c r="N134" i="2"/>
  <c r="N107" i="2"/>
  <c r="C39" i="4"/>
  <c r="N125" i="2"/>
  <c r="N106" i="2"/>
  <c r="N116" i="2"/>
  <c r="N139" i="2"/>
  <c r="N127" i="2"/>
  <c r="N98" i="2"/>
  <c r="N143" i="2"/>
  <c r="N150" i="2"/>
  <c r="N94" i="2"/>
  <c r="N113" i="2"/>
  <c r="N122" i="2"/>
  <c r="N20" i="2"/>
  <c r="G79" i="3"/>
  <c r="E81" i="3"/>
  <c r="L81" i="2"/>
  <c r="L65" i="2"/>
  <c r="L52" i="2"/>
  <c r="L88" i="2"/>
  <c r="L73" i="2"/>
  <c r="L87" i="2"/>
  <c r="L77" i="2"/>
  <c r="L47" i="2"/>
  <c r="L27" i="2"/>
  <c r="L70" i="2"/>
  <c r="L76" i="2"/>
  <c r="L58" i="2"/>
  <c r="L40" i="2"/>
  <c r="L78" i="2"/>
  <c r="L71" i="2"/>
  <c r="L44" i="2"/>
  <c r="L34" i="2"/>
  <c r="L61" i="2"/>
  <c r="L51" i="2"/>
  <c r="L32" i="2"/>
  <c r="L57" i="2"/>
  <c r="L72" i="2"/>
  <c r="L56" i="2"/>
  <c r="L74" i="2"/>
  <c r="L46" i="2"/>
  <c r="L69" i="2"/>
  <c r="L75" i="2"/>
  <c r="L39" i="2"/>
  <c r="L53" i="2"/>
  <c r="L59" i="2"/>
  <c r="L37" i="2"/>
  <c r="L66" i="2"/>
  <c r="L28" i="2"/>
  <c r="L36" i="2"/>
  <c r="L23" i="2"/>
  <c r="L79" i="2"/>
  <c r="L35" i="2"/>
  <c r="L25" i="2"/>
  <c r="L85" i="2"/>
  <c r="L62" i="2"/>
  <c r="L22" i="2"/>
  <c r="L84" i="2"/>
  <c r="L50" i="2"/>
  <c r="D37" i="4"/>
  <c r="L82" i="2"/>
  <c r="L42" i="2"/>
  <c r="L83" i="2"/>
  <c r="L33" i="2"/>
  <c r="L49" i="2"/>
  <c r="L41" i="2"/>
  <c r="L67" i="2"/>
  <c r="L48" i="2"/>
  <c r="L89" i="2"/>
  <c r="L80" i="2"/>
  <c r="L68" i="2"/>
  <c r="L64" i="2"/>
  <c r="L43" i="2"/>
  <c r="L45" i="2"/>
  <c r="L26" i="2"/>
  <c r="L55" i="2"/>
  <c r="L60" i="2"/>
  <c r="L24" i="2"/>
  <c r="L38" i="2"/>
  <c r="L31" i="2"/>
  <c r="L86" i="2"/>
  <c r="L63" i="2"/>
  <c r="L21" i="2"/>
  <c r="N41" i="2"/>
  <c r="N59" i="2"/>
  <c r="N23" i="2"/>
  <c r="N75" i="2"/>
  <c r="N24" i="2"/>
  <c r="N64" i="2"/>
  <c r="N47" i="2"/>
  <c r="N80" i="2"/>
  <c r="N33" i="2"/>
  <c r="N88" i="2"/>
  <c r="N62" i="2"/>
  <c r="N69" i="2"/>
  <c r="N73" i="2"/>
  <c r="N57" i="2"/>
  <c r="N81" i="2"/>
  <c r="N28" i="2"/>
  <c r="N67" i="2"/>
  <c r="N39" i="2"/>
  <c r="N74" i="2"/>
  <c r="N42" i="2"/>
  <c r="N37" i="2"/>
  <c r="N25" i="2"/>
  <c r="N40" i="2"/>
  <c r="N58" i="2"/>
  <c r="N77" i="2"/>
  <c r="N89" i="2"/>
  <c r="N84" i="2"/>
  <c r="N65" i="2"/>
  <c r="N68" i="2"/>
  <c r="M161" i="2"/>
  <c r="N32" i="2"/>
  <c r="N83" i="2"/>
  <c r="N61" i="2"/>
  <c r="N79" i="2"/>
  <c r="N85" i="2"/>
  <c r="N52" i="2"/>
  <c r="N27" i="2"/>
  <c r="N72" i="2"/>
  <c r="N44" i="2"/>
  <c r="C37" i="4"/>
  <c r="N31" i="2"/>
  <c r="N38" i="2"/>
  <c r="N49" i="2"/>
  <c r="N22" i="2"/>
  <c r="N34" i="2"/>
  <c r="N50" i="2"/>
  <c r="N53" i="2"/>
  <c r="N51" i="2"/>
  <c r="N48" i="2"/>
  <c r="N78" i="2"/>
  <c r="N66" i="2"/>
  <c r="N26" i="2"/>
  <c r="N87" i="2"/>
  <c r="N70" i="2"/>
  <c r="N36" i="2"/>
  <c r="N45" i="2"/>
  <c r="N86" i="2"/>
  <c r="N82" i="2"/>
  <c r="N71" i="2"/>
  <c r="N55" i="2"/>
  <c r="N46" i="2"/>
  <c r="N35" i="2"/>
  <c r="N43" i="2"/>
  <c r="N76" i="2"/>
  <c r="N60" i="2"/>
  <c r="N63" i="2"/>
  <c r="N56" i="2"/>
  <c r="N21" i="2"/>
  <c r="L54" i="2"/>
  <c r="M54" i="3"/>
  <c r="E52" i="4"/>
  <c r="N54" i="3"/>
  <c r="C48" i="4"/>
  <c r="C94" i="4"/>
  <c r="C43" i="4"/>
  <c r="D48" i="4"/>
  <c r="D94" i="4"/>
  <c r="D43" i="4"/>
  <c r="L20" i="2"/>
  <c r="J22" i="2"/>
  <c r="J80" i="2"/>
  <c r="J33" i="2"/>
  <c r="J27" i="2"/>
  <c r="J42" i="2"/>
  <c r="J67" i="2"/>
  <c r="J35" i="2"/>
  <c r="J81" i="2"/>
  <c r="J77" i="2"/>
  <c r="J49" i="2"/>
  <c r="J59" i="2"/>
  <c r="J52" i="2"/>
  <c r="J44" i="2"/>
  <c r="J34" i="2"/>
  <c r="J87" i="2"/>
  <c r="J32" i="2"/>
  <c r="P89" i="2"/>
  <c r="J61" i="2"/>
  <c r="J53" i="2"/>
  <c r="J24" i="2"/>
  <c r="J73" i="2"/>
  <c r="J28" i="2"/>
  <c r="J47" i="2"/>
  <c r="J64" i="2"/>
  <c r="J65" i="2"/>
  <c r="J60" i="2"/>
  <c r="J76" i="2"/>
  <c r="J83" i="2"/>
  <c r="J43" i="2"/>
  <c r="J55" i="2"/>
  <c r="J48" i="2"/>
  <c r="J57" i="2"/>
  <c r="J84" i="2"/>
  <c r="J58" i="2"/>
  <c r="J39" i="2"/>
  <c r="J56" i="2"/>
  <c r="J66" i="2"/>
  <c r="J70" i="2"/>
  <c r="J26" i="2"/>
  <c r="J62" i="2"/>
  <c r="J37" i="2"/>
  <c r="J50" i="2"/>
  <c r="J51" i="2"/>
  <c r="J69" i="2"/>
  <c r="Q89" i="2"/>
  <c r="J75" i="2"/>
  <c r="J89" i="2"/>
  <c r="J82" i="2"/>
  <c r="J72" i="2"/>
  <c r="J68" i="2"/>
  <c r="J85" i="2"/>
  <c r="J40" i="2"/>
  <c r="J46" i="2"/>
  <c r="J36" i="2"/>
  <c r="E37" i="4"/>
  <c r="J23" i="2"/>
  <c r="J25" i="2"/>
  <c r="J41" i="2"/>
  <c r="J45" i="2"/>
  <c r="J88" i="2"/>
  <c r="J74" i="2"/>
  <c r="J79" i="2"/>
  <c r="J21" i="2"/>
  <c r="J86" i="2"/>
  <c r="J78" i="2"/>
  <c r="J71" i="2"/>
  <c r="J31" i="2"/>
  <c r="J63" i="2"/>
  <c r="J38" i="2"/>
  <c r="J20" i="2"/>
  <c r="E48" i="4"/>
  <c r="E43" i="4"/>
  <c r="E94" i="4"/>
  <c r="J54" i="2"/>
  <c r="H128" i="4"/>
  <c r="K128" i="4" s="1"/>
  <c r="J128" i="4"/>
  <c r="M128" i="4" s="1"/>
  <c r="G128" i="4"/>
  <c r="A129" i="4" s="1"/>
  <c r="I128" i="4"/>
  <c r="L128" i="4" s="1"/>
  <c r="J58" i="4"/>
  <c r="M58" i="4" s="1"/>
  <c r="I58" i="4"/>
  <c r="L58" i="4" s="1"/>
  <c r="G58" i="4"/>
  <c r="A59" i="4" s="1"/>
  <c r="H58" i="4"/>
  <c r="K58" i="4" s="1"/>
  <c r="J110" i="4"/>
  <c r="M110" i="4" s="1"/>
  <c r="I110" i="4"/>
  <c r="L110" i="4" s="1"/>
  <c r="H110" i="4"/>
  <c r="K110" i="4" s="1"/>
  <c r="G110" i="4"/>
  <c r="A111" i="4" s="1"/>
  <c r="H106" i="4"/>
  <c r="K106" i="4" s="1"/>
  <c r="G106" i="4"/>
  <c r="A107" i="4" s="1"/>
  <c r="I106" i="4"/>
  <c r="L106" i="4" s="1"/>
  <c r="J106" i="4"/>
  <c r="M106" i="4" s="1"/>
  <c r="G66" i="4"/>
  <c r="A68" i="4" s="1"/>
  <c r="E67" i="4"/>
  <c r="E71" i="4"/>
  <c r="C34" i="4" l="1"/>
  <c r="C78" i="4" s="1"/>
  <c r="K81" i="3"/>
  <c r="N79" i="3"/>
  <c r="N86" i="4"/>
  <c r="M79" i="3"/>
  <c r="D34" i="4"/>
  <c r="I81" i="3"/>
  <c r="N128" i="4"/>
  <c r="C47" i="4"/>
  <c r="C93" i="4"/>
  <c r="C102" i="4" s="1"/>
  <c r="C50" i="4"/>
  <c r="C62" i="4"/>
  <c r="C51" i="4"/>
  <c r="N81" i="3"/>
  <c r="G81" i="3"/>
  <c r="D51" i="4"/>
  <c r="D62" i="4"/>
  <c r="D53" i="4"/>
  <c r="D93" i="4"/>
  <c r="D102" i="4" s="1"/>
  <c r="D47" i="4"/>
  <c r="C54" i="4"/>
  <c r="C117" i="4"/>
  <c r="C53" i="4"/>
  <c r="J93" i="4"/>
  <c r="M93" i="4" s="1"/>
  <c r="I93" i="4"/>
  <c r="L93" i="4" s="1"/>
  <c r="H93" i="4"/>
  <c r="K93" i="4" s="1"/>
  <c r="E93" i="4"/>
  <c r="E47" i="4"/>
  <c r="E62" i="4"/>
  <c r="E53" i="4"/>
  <c r="E51" i="4"/>
  <c r="N58" i="4"/>
  <c r="N110" i="4"/>
  <c r="J66" i="4"/>
  <c r="M66" i="4" s="1"/>
  <c r="H66" i="4"/>
  <c r="K66" i="4" s="1"/>
  <c r="I66" i="4"/>
  <c r="L66" i="4" s="1"/>
  <c r="H71" i="4"/>
  <c r="K71" i="4" s="1"/>
  <c r="J71" i="4"/>
  <c r="M71" i="4" s="1"/>
  <c r="G71" i="4"/>
  <c r="A72" i="4" s="1"/>
  <c r="I71" i="4"/>
  <c r="L71" i="4" s="1"/>
  <c r="N106" i="4"/>
  <c r="H7" i="9" l="1"/>
  <c r="H23" i="9" s="1"/>
  <c r="I110" i="2"/>
  <c r="I86" i="3"/>
  <c r="I7" i="9"/>
  <c r="I23" i="9" s="1"/>
  <c r="K110" i="2"/>
  <c r="C82" i="4"/>
  <c r="D78" i="4"/>
  <c r="E78" i="4"/>
  <c r="M81" i="3"/>
  <c r="N71" i="4"/>
  <c r="N86" i="3"/>
  <c r="G86" i="3"/>
  <c r="J62" i="4"/>
  <c r="M62" i="4" s="1"/>
  <c r="G62" i="4"/>
  <c r="A63" i="4" s="1"/>
  <c r="I62" i="4"/>
  <c r="L62" i="4" s="1"/>
  <c r="H62" i="4"/>
  <c r="K62" i="4" s="1"/>
  <c r="E102" i="4"/>
  <c r="G93" i="4"/>
  <c r="A95" i="4" s="1"/>
  <c r="N93" i="4"/>
  <c r="N66" i="4"/>
  <c r="K94" i="2" l="1"/>
  <c r="P110" i="2"/>
  <c r="Q110" i="2"/>
  <c r="I94" i="2"/>
  <c r="M86" i="3"/>
  <c r="N62" i="4"/>
  <c r="H102" i="4"/>
  <c r="K102" i="4" s="1"/>
  <c r="G102" i="4"/>
  <c r="A103" i="4" s="1"/>
  <c r="J102" i="4"/>
  <c r="M102" i="4" s="1"/>
  <c r="I102" i="4"/>
  <c r="L102" i="4" s="1"/>
  <c r="I78" i="4"/>
  <c r="L78" i="4" s="1"/>
  <c r="J78" i="4"/>
  <c r="M78" i="4" s="1"/>
  <c r="G78" i="4"/>
  <c r="A79" i="4" s="1"/>
  <c r="H78" i="4"/>
  <c r="K78" i="4" s="1"/>
  <c r="I93" i="2" l="1"/>
  <c r="C126" i="8"/>
  <c r="P94" i="2"/>
  <c r="Q94" i="2"/>
  <c r="K93" i="2"/>
  <c r="B126" i="8"/>
  <c r="N102" i="4"/>
  <c r="N78" i="4"/>
  <c r="K160" i="2" l="1"/>
  <c r="L93" i="2" s="1"/>
  <c r="D40" i="4"/>
  <c r="D126" i="8"/>
  <c r="A123" i="8" s="1"/>
  <c r="I122" i="8" s="1"/>
  <c r="B17" i="6" s="1"/>
  <c r="Q93" i="2"/>
  <c r="P93" i="2"/>
  <c r="I160" i="2"/>
  <c r="E40" i="4"/>
  <c r="E121" i="4" l="1"/>
  <c r="E82" i="4"/>
  <c r="I161" i="2"/>
  <c r="J119" i="2"/>
  <c r="J109" i="2"/>
  <c r="J137" i="2"/>
  <c r="J154" i="2"/>
  <c r="J106" i="2"/>
  <c r="Q160" i="2"/>
  <c r="J127" i="2"/>
  <c r="J147" i="2"/>
  <c r="J151" i="2"/>
  <c r="J128" i="2"/>
  <c r="J117" i="2"/>
  <c r="J131" i="2"/>
  <c r="J159" i="2"/>
  <c r="J97" i="2"/>
  <c r="J158" i="2"/>
  <c r="J145" i="2"/>
  <c r="J136" i="2"/>
  <c r="J114" i="2"/>
  <c r="J146" i="2"/>
  <c r="J150" i="2"/>
  <c r="J113" i="2"/>
  <c r="J125" i="2"/>
  <c r="J103" i="2"/>
  <c r="J102" i="2"/>
  <c r="J100" i="2"/>
  <c r="J108" i="2"/>
  <c r="J132" i="2"/>
  <c r="J129" i="2"/>
  <c r="J112" i="2"/>
  <c r="J130" i="2"/>
  <c r="P160" i="2"/>
  <c r="J115" i="2"/>
  <c r="J99" i="2"/>
  <c r="J155" i="2"/>
  <c r="J104" i="2"/>
  <c r="J107" i="2"/>
  <c r="J135" i="2"/>
  <c r="J157" i="2"/>
  <c r="J118" i="2"/>
  <c r="J153" i="2"/>
  <c r="E98" i="4"/>
  <c r="J148" i="2"/>
  <c r="J121" i="2"/>
  <c r="J95" i="2"/>
  <c r="J142" i="2"/>
  <c r="J98" i="2"/>
  <c r="J144" i="2"/>
  <c r="J160" i="2"/>
  <c r="J96" i="2"/>
  <c r="J133" i="2"/>
  <c r="J123" i="2"/>
  <c r="J139" i="2"/>
  <c r="J120" i="2"/>
  <c r="J111" i="2"/>
  <c r="J124" i="2"/>
  <c r="J116" i="2"/>
  <c r="J156" i="2"/>
  <c r="J140" i="2"/>
  <c r="J134" i="2"/>
  <c r="J143" i="2"/>
  <c r="J141" i="2"/>
  <c r="J126" i="2"/>
  <c r="E39" i="4"/>
  <c r="J105" i="2"/>
  <c r="J122" i="2"/>
  <c r="J138" i="2"/>
  <c r="J149" i="2"/>
  <c r="J101" i="2"/>
  <c r="J152" i="2"/>
  <c r="J110" i="2"/>
  <c r="J94" i="2"/>
  <c r="D121" i="4"/>
  <c r="D82" i="4"/>
  <c r="J93" i="2"/>
  <c r="L147" i="2"/>
  <c r="L98" i="2"/>
  <c r="L135" i="2"/>
  <c r="L117" i="2"/>
  <c r="L131" i="2"/>
  <c r="L130" i="2"/>
  <c r="L160" i="2"/>
  <c r="L116" i="2"/>
  <c r="L140" i="2"/>
  <c r="L121" i="2"/>
  <c r="L99" i="2"/>
  <c r="L150" i="2"/>
  <c r="L101" i="2"/>
  <c r="L155" i="2"/>
  <c r="L148" i="2"/>
  <c r="L127" i="2"/>
  <c r="L119" i="2"/>
  <c r="L143" i="2"/>
  <c r="L144" i="2"/>
  <c r="L118" i="2"/>
  <c r="L103" i="2"/>
  <c r="L102" i="2"/>
  <c r="L136" i="2"/>
  <c r="L129" i="2"/>
  <c r="L132" i="2"/>
  <c r="L133" i="2"/>
  <c r="L109" i="2"/>
  <c r="L151" i="2"/>
  <c r="L100" i="2"/>
  <c r="L113" i="2"/>
  <c r="L106" i="2"/>
  <c r="L126" i="2"/>
  <c r="L104" i="2"/>
  <c r="L125" i="2"/>
  <c r="L159" i="2"/>
  <c r="L146" i="2"/>
  <c r="L124" i="2"/>
  <c r="L123" i="2"/>
  <c r="L139" i="2"/>
  <c r="L154" i="2"/>
  <c r="D39" i="4"/>
  <c r="L111" i="2"/>
  <c r="L107" i="2"/>
  <c r="L141" i="2"/>
  <c r="L138" i="2"/>
  <c r="L120" i="2"/>
  <c r="L128" i="2"/>
  <c r="L153" i="2"/>
  <c r="L134" i="2"/>
  <c r="L137" i="2"/>
  <c r="L112" i="2"/>
  <c r="L108" i="2"/>
  <c r="L105" i="2"/>
  <c r="K161" i="2"/>
  <c r="L152" i="2"/>
  <c r="L142" i="2"/>
  <c r="L149" i="2"/>
  <c r="D98" i="4"/>
  <c r="L157" i="2"/>
  <c r="L115" i="2"/>
  <c r="L95" i="2"/>
  <c r="L158" i="2"/>
  <c r="L114" i="2"/>
  <c r="L97" i="2"/>
  <c r="L156" i="2"/>
  <c r="L96" i="2"/>
  <c r="L145" i="2"/>
  <c r="L122" i="2"/>
  <c r="L110" i="2"/>
  <c r="L94" i="2"/>
  <c r="D50" i="4" l="1"/>
  <c r="D117" i="4"/>
  <c r="D54" i="4"/>
  <c r="I98" i="4"/>
  <c r="L98" i="4" s="1"/>
  <c r="G98" i="4"/>
  <c r="A99" i="4" s="1"/>
  <c r="H98" i="4"/>
  <c r="K98" i="4" s="1"/>
  <c r="N98" i="4" s="1"/>
  <c r="J98" i="4"/>
  <c r="M98" i="4" s="1"/>
  <c r="E54" i="4"/>
  <c r="E50" i="4"/>
  <c r="E117" i="4"/>
  <c r="I82" i="4"/>
  <c r="L82" i="4" s="1"/>
  <c r="H82" i="4"/>
  <c r="K82" i="4" s="1"/>
  <c r="G82" i="4"/>
  <c r="A83" i="4" s="1"/>
  <c r="J82" i="4"/>
  <c r="M82" i="4" s="1"/>
  <c r="J121" i="4"/>
  <c r="M121" i="4" s="1"/>
  <c r="G121" i="4"/>
  <c r="A122" i="4" s="1"/>
  <c r="H121" i="4"/>
  <c r="K121" i="4" s="1"/>
  <c r="I121" i="4"/>
  <c r="L121" i="4" s="1"/>
  <c r="N121" i="4" l="1"/>
  <c r="Q137" i="4"/>
  <c r="O137" i="4"/>
  <c r="N82" i="4"/>
  <c r="P137" i="4"/>
  <c r="H117" i="4"/>
  <c r="K117" i="4" s="1"/>
  <c r="N117" i="4" s="1"/>
  <c r="I117" i="4"/>
  <c r="L117" i="4" s="1"/>
  <c r="J117" i="4"/>
  <c r="M117" i="4" s="1"/>
  <c r="G117" i="4"/>
  <c r="A118" i="4" s="1"/>
  <c r="N133" i="4" l="1"/>
  <c r="P138" i="4" s="1"/>
  <c r="Q144" i="4" l="1"/>
  <c r="Q145" i="4" s="1"/>
  <c r="Q149" i="4"/>
  <c r="H137" i="4" s="1"/>
  <c r="A148" i="4" l="1"/>
  <c r="R144" i="4"/>
  <c r="B1" i="6"/>
  <c r="Q148" i="4"/>
  <c r="R14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Vanessa Gil</author>
  </authors>
  <commentList>
    <comment ref="F21" authorId="0" shapeId="0" xr:uid="{3F06724A-2CE2-4B97-9639-2B16D8AC12BA}">
      <text>
        <r>
          <rPr>
            <b/>
            <sz val="9"/>
            <color indexed="81"/>
            <rFont val="Tahoma"/>
            <charset val="1"/>
          </rPr>
          <t>Vanessa Gil:</t>
        </r>
        <r>
          <rPr>
            <sz val="9"/>
            <color indexed="81"/>
            <rFont val="Tahoma"/>
            <charset val="1"/>
          </rPr>
          <t xml:space="preserve">
En fase de planificació, utilitzem aquesta columna per extrapolar els mesos que faltaria per complir l'any complert i fer-se una idea de com acabarà l'any i amb quin resultat.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GRAMAUDIT</author>
  </authors>
  <commentList>
    <comment ref="A106" authorId="0" shapeId="0" xr:uid="{00000000-0006-0000-0600-000001000000}">
      <text>
        <r>
          <rPr>
            <sz val="8"/>
            <color indexed="81"/>
            <rFont val="Tahoma"/>
            <family val="2"/>
          </rPr>
          <t xml:space="preserve">
Solo Deudores Comerciales</t>
        </r>
      </text>
    </comment>
  </commentList>
</comments>
</file>

<file path=xl/sharedStrings.xml><?xml version="1.0" encoding="utf-8"?>
<sst xmlns="http://schemas.openxmlformats.org/spreadsheetml/2006/main" count="2075" uniqueCount="1413">
  <si>
    <t xml:space="preserve">Cliente: </t>
  </si>
  <si>
    <t>Preparado por:</t>
  </si>
  <si>
    <t>Revisado por:</t>
  </si>
  <si>
    <t xml:space="preserve">Ejercicio cerrado el: </t>
  </si>
  <si>
    <t>PLANIFICACION Y PLAN GLOBAL</t>
  </si>
  <si>
    <t xml:space="preserve">Fecha: </t>
  </si>
  <si>
    <t>Fecha:</t>
  </si>
  <si>
    <t>ANALISIS DE RATIOS</t>
  </si>
  <si>
    <t>Crecimiento de la cifra de ventas</t>
  </si>
  <si>
    <t>Rotación de los activos</t>
  </si>
  <si>
    <t>Refleja las veces que se ha utilizado el total de activo en la obtención de las ventas. Interesa que sea lo más elevado posible.</t>
  </si>
  <si>
    <t>Valor añadido</t>
  </si>
  <si>
    <t>Es el valor que obtiene la empresa en su actividad principal, tras descontar el coste necesario para su realización.</t>
  </si>
  <si>
    <t>Crecimiento del valor añadido</t>
  </si>
  <si>
    <t>Indica la evolución de la cifra de valor añadido. La evolución debe ser positiva.</t>
  </si>
  <si>
    <t>Rentabilidad económica</t>
  </si>
  <si>
    <t>Indica el rendimiento medio que obtiene la empresa como consecuencia de sus inversiones en activo.</t>
  </si>
  <si>
    <t>Rentabilidad financiera</t>
  </si>
  <si>
    <t>Gastos Financieros</t>
  </si>
  <si>
    <t>Es la cantidad de unidades monetarias destinadas a cubrir los intereses por cada cien unidades monetarias procedentes de ventas.</t>
  </si>
  <si>
    <t>Fondo de Maniobra</t>
  </si>
  <si>
    <t>Ratio de equilibrio</t>
  </si>
  <si>
    <t>Fondo de Maniobra (días)</t>
  </si>
  <si>
    <t>Número de días que tarda en regenerarse el fondo de maniobra a través de la actividad. Un número de días pco elevado indica agilidad en la actividad.</t>
  </si>
  <si>
    <t>Crédito a clientes (días)</t>
  </si>
  <si>
    <t>Número de días que la empresa tarda en recuperar la deuda de clientes.</t>
  </si>
  <si>
    <t>Crédito de proveedores (días)</t>
  </si>
  <si>
    <t>Número de días de aplazamiento del pago por parte de la empresa a sus proveedores.</t>
  </si>
  <si>
    <t>Endeudamiento</t>
  </si>
  <si>
    <t>Peso de las deudas a corto y a largo en el total del pasivo.</t>
  </si>
  <si>
    <t>Fondos Propios / Permanentes</t>
  </si>
  <si>
    <t>El valor máximo que puede tomar es 100%. Valores inferiores a 50% señalan un alto grado de endeudamiento.</t>
  </si>
  <si>
    <t>Liquidez general</t>
  </si>
  <si>
    <t>Capacidad potencial que tiene la empresa para pagar sus obligaciones.Si es menor que 1, problemas para pagar las deudas a C.P.</t>
  </si>
  <si>
    <t>Liquidez Inmediata</t>
  </si>
  <si>
    <t>Capacidad de atender pagos a muy corto plazo.</t>
  </si>
  <si>
    <t>INCREMENTO:</t>
  </si>
  <si>
    <t>DECREMENTO:</t>
  </si>
  <si>
    <t>FUENTE DE DATOS:</t>
  </si>
  <si>
    <t>OBJETIVO:</t>
  </si>
  <si>
    <t>Verificar la evolución razonable de las cifras de balance para detectar variaciones anormales.</t>
  </si>
  <si>
    <t>PROCEDIMIENTOS:</t>
  </si>
  <si>
    <t>CONCLUSION:</t>
  </si>
  <si>
    <t>CUENTAS</t>
  </si>
  <si>
    <t>ACTIVO</t>
  </si>
  <si>
    <t>% S/ Tot Act.</t>
  </si>
  <si>
    <t>Variacion Importe</t>
  </si>
  <si>
    <t>Variacion %</t>
  </si>
  <si>
    <t>A) ACTIVO NO CORRIENTE</t>
  </si>
  <si>
    <t>I. Inmovilizado intangible.</t>
  </si>
  <si>
    <t>201, (2801), (2901)</t>
  </si>
  <si>
    <t>1. Desarrollo</t>
  </si>
  <si>
    <t>202, (2802), (2902)</t>
  </si>
  <si>
    <t>2. Concesiones</t>
  </si>
  <si>
    <t>203, (2803), (2903)</t>
  </si>
  <si>
    <t>3. Patentes, licencias, marcas y similares</t>
  </si>
  <si>
    <t>4. Fondo de comercio</t>
  </si>
  <si>
    <t>206, (2806), (2906)</t>
  </si>
  <si>
    <t>5. Aplicaciones informaticas</t>
  </si>
  <si>
    <t>200, (2800), (2900)</t>
  </si>
  <si>
    <t>6. Investigación</t>
  </si>
  <si>
    <t>205, 209, (2805), (2905)</t>
  </si>
  <si>
    <t>II. Inmovilizado material.</t>
  </si>
  <si>
    <t>210, 211, (2811), (2910), (2911)</t>
  </si>
  <si>
    <t>1. Terrenos y construcciones</t>
  </si>
  <si>
    <t>212, 213, 214, 215, 216, 217, 218, 219, (2812), (2813), (2814), (2815), (2816), (2817), (2818), (2912), (2913), (2914), (2915), (2916), (2917), (2918), (2919)</t>
  </si>
  <si>
    <t>2. Instalaciones técnicas y otro inmovilizado material</t>
  </si>
  <si>
    <t>3. Inmovilización en curso y anticipos</t>
  </si>
  <si>
    <t>III. Inversiones inmobiliarias</t>
  </si>
  <si>
    <t>220, (2920)</t>
  </si>
  <si>
    <t xml:space="preserve">1. Terrenos </t>
  </si>
  <si>
    <t>221, (282), (2921)</t>
  </si>
  <si>
    <t>2. Construcciones</t>
  </si>
  <si>
    <t>IV. Inversiones en empresas del gurpo y asociadas a largo plazo</t>
  </si>
  <si>
    <t>2403, 2404, (2493), (2494), (293)</t>
  </si>
  <si>
    <t>1. Instrumentos de patrimonio</t>
  </si>
  <si>
    <t>2423, 2424, (2953), (2954)</t>
  </si>
  <si>
    <t>2. Créditos a empresas</t>
  </si>
  <si>
    <t>2413, 2414, (2943), (2944)</t>
  </si>
  <si>
    <t>3. Valores representativos de deuda</t>
  </si>
  <si>
    <t>4. Derivados</t>
  </si>
  <si>
    <t>5. Otros activos financieros</t>
  </si>
  <si>
    <t>6. Otras inversiones</t>
  </si>
  <si>
    <t>V. inversiones financieras a largo plazo</t>
  </si>
  <si>
    <t>2405, (2495), 250, (259)</t>
  </si>
  <si>
    <t>2425, 252, 253, 254, (2955), (298)</t>
  </si>
  <si>
    <t>2. Créditos a terceros</t>
  </si>
  <si>
    <t>2415, 251, (2945), (297)</t>
  </si>
  <si>
    <t>258, 26</t>
  </si>
  <si>
    <t>VI. Activos por impuesto diferido</t>
  </si>
  <si>
    <t>VII. Deudores comerciales no corrientes</t>
  </si>
  <si>
    <t>B) ACTIVO CORRIENTE</t>
  </si>
  <si>
    <t>580, 581, 582, 583, 584, (599)</t>
  </si>
  <si>
    <t>I. Activos no corrientes mantenidos para la venta.</t>
  </si>
  <si>
    <t>II. Existencias</t>
  </si>
  <si>
    <t>30, (390)</t>
  </si>
  <si>
    <t>1. Comerciales</t>
  </si>
  <si>
    <t>31, 32, (391), (392)</t>
  </si>
  <si>
    <t>2. Materias primas y otros aprovisionamientos</t>
  </si>
  <si>
    <t>33, 34, (393), (394)</t>
  </si>
  <si>
    <t>3. Producto en curso</t>
  </si>
  <si>
    <t>35, (395)</t>
  </si>
  <si>
    <t>4. Productos terminados</t>
  </si>
  <si>
    <t>36, (396)</t>
  </si>
  <si>
    <t>5. Subproductos , residuos y materiales recuperados</t>
  </si>
  <si>
    <t>6. Anticipos a proveedores</t>
  </si>
  <si>
    <t>III.  Deudores comerciales y otras cuentas a cobrar</t>
  </si>
  <si>
    <t>430, 431, 432, 435, 436, (437), (490), (4935)</t>
  </si>
  <si>
    <t>1. Clientes por ventas y prestaciones de servicios</t>
  </si>
  <si>
    <t>433, 434, (4933), (4934)</t>
  </si>
  <si>
    <t>2. Clientes, empresas del grupo y asociadas</t>
  </si>
  <si>
    <t>44, 5531, 5533</t>
  </si>
  <si>
    <t>3. Deudores varios</t>
  </si>
  <si>
    <t>460, 544</t>
  </si>
  <si>
    <t>4. Personal</t>
  </si>
  <si>
    <t>5. Activos por impuesto corriente</t>
  </si>
  <si>
    <t>4700, 4708, 471, 472</t>
  </si>
  <si>
    <t>6. Otros créditos con las Administraciones Públicas</t>
  </si>
  <si>
    <t>7. Accionistas (socios) por desembolsos exigidos</t>
  </si>
  <si>
    <t>IV. Inversiones en empresas del grupo y asociadas a corto plazo</t>
  </si>
  <si>
    <t>5303, 5304, (5393), (5394), (593)</t>
  </si>
  <si>
    <t>5323, 5324, 5343, 5344, (5953), (5954)</t>
  </si>
  <si>
    <t>5313, 5314, 4333, 5334, (5943), (5944)</t>
  </si>
  <si>
    <t>5353, 5354, 5523, 5524</t>
  </si>
  <si>
    <t>5. Otros activos Financieros</t>
  </si>
  <si>
    <t>5305, 540, (5395), (549)</t>
  </si>
  <si>
    <t>5325, 5345, 542, 543, 547, (5955), (598)</t>
  </si>
  <si>
    <t>5315, 5335, 541, 546, (5945), (597)</t>
  </si>
  <si>
    <t>5590, 5593</t>
  </si>
  <si>
    <t>5355, 545, 548, 551, 5525, 565, 566</t>
  </si>
  <si>
    <t>480, 567</t>
  </si>
  <si>
    <t>VI. Periodificaciones a corto plazo.</t>
  </si>
  <si>
    <t>VII. Efectivo y otros activos líquidos equivalentes.</t>
  </si>
  <si>
    <t>570, 571, 572, 573, 574, 575</t>
  </si>
  <si>
    <t>1. Tesorería</t>
  </si>
  <si>
    <t>2. Otros activos líquidos equivalentes</t>
  </si>
  <si>
    <t>TOTAL ACTIVO</t>
  </si>
  <si>
    <t>% s/ Tot Pas</t>
  </si>
  <si>
    <t>Nº CUENTAS</t>
  </si>
  <si>
    <t>PATRIMONIO NETO Y PASIVO</t>
  </si>
  <si>
    <t>A) PATRIMONIO NETO</t>
  </si>
  <si>
    <t>A-1) Fondos propios</t>
  </si>
  <si>
    <t>I. Capital</t>
  </si>
  <si>
    <t>100, 101, 102</t>
  </si>
  <si>
    <t>(1030), (1040)</t>
  </si>
  <si>
    <t>II. Prima de emisión</t>
  </si>
  <si>
    <t>III. Reservas</t>
  </si>
  <si>
    <t>112, 1141</t>
  </si>
  <si>
    <t>113, 1140, 1142, 1143, 1144, 115, 119</t>
  </si>
  <si>
    <t>2. Otras reservas</t>
  </si>
  <si>
    <t>(108), (109)</t>
  </si>
  <si>
    <t>IV.  (Acciones y participaciones en patrimonio propias)</t>
  </si>
  <si>
    <t>V. Resultados de ejercicios anteriores</t>
  </si>
  <si>
    <t>1. Remanente</t>
  </si>
  <si>
    <t>(121)</t>
  </si>
  <si>
    <t>2. Resultados negativos de ejercicios anteriores</t>
  </si>
  <si>
    <t>VI. Otras aportaciones de socios</t>
  </si>
  <si>
    <t>VII. Resultado del ejercicio</t>
  </si>
  <si>
    <t>(557)</t>
  </si>
  <si>
    <t>VIII. (Dividendo a cuenta)</t>
  </si>
  <si>
    <t>IX. Otros instrumentos de patrimonio neto</t>
  </si>
  <si>
    <t>A-2) Ajustes por cambios de valor.</t>
  </si>
  <si>
    <t>I. Activos financieros disponibles para la venta</t>
  </si>
  <si>
    <t>II. Operaciones de cobertura</t>
  </si>
  <si>
    <t>III. Activos no corrientes y pasivos vinculados, mantenidos para la venta</t>
  </si>
  <si>
    <t>IV. Diferencias de conversión</t>
  </si>
  <si>
    <t>V. Otros</t>
  </si>
  <si>
    <t>130, 131, 132</t>
  </si>
  <si>
    <t>A-3) Subvenciones, donaciones y legados recibidos</t>
  </si>
  <si>
    <t>B) PASIVO NO CORRIENTE</t>
  </si>
  <si>
    <t>I. Provisiones a largo plazo.</t>
  </si>
  <si>
    <t>1. Obligaciones por prestaciones a largo palzo al personal</t>
  </si>
  <si>
    <t>2. Actuaciones medioambientales</t>
  </si>
  <si>
    <t>3. Provisiones por reestructuración</t>
  </si>
  <si>
    <t>141, 142, 143, 147</t>
  </si>
  <si>
    <t>4. Otras provisiones</t>
  </si>
  <si>
    <t>II. Deudas a largo plazo</t>
  </si>
  <si>
    <t>177, 178, 179</t>
  </si>
  <si>
    <t>1. Obligaciones y otros valores negociables</t>
  </si>
  <si>
    <t>1605, 170</t>
  </si>
  <si>
    <t>2. Deudas con entidades de crédito</t>
  </si>
  <si>
    <t>1625, 174</t>
  </si>
  <si>
    <t>3. Acreedores por errendamiento financiero</t>
  </si>
  <si>
    <t>1615, 1635, 171, 172, 173, 175, 180, 185, 189</t>
  </si>
  <si>
    <t>5. Otros pasivos financieros</t>
  </si>
  <si>
    <t>1603, 1604, 1613, 1614, 1623, 1624, 1633, 1634</t>
  </si>
  <si>
    <t>III. Deudas con empresas del grupo y asociadas a largo plazo</t>
  </si>
  <si>
    <t>IV. Pasivos por impuesto diferido</t>
  </si>
  <si>
    <t>V. Periodificaciones a largo plazo</t>
  </si>
  <si>
    <t>VI. Acreedores comerciales no corrientes</t>
  </si>
  <si>
    <t>150, 153, 154</t>
  </si>
  <si>
    <t>VII. Deudas con caracteristicas especiales a largo plazo</t>
  </si>
  <si>
    <t>C) PASIVO CORRIENTE</t>
  </si>
  <si>
    <t>585, 586, 587, 588, 589</t>
  </si>
  <si>
    <t>499, 529</t>
  </si>
  <si>
    <t>II. Provisiones a corto plazo</t>
  </si>
  <si>
    <t>III. Deudas a corto plazo</t>
  </si>
  <si>
    <t>500, 501, 505, 506</t>
  </si>
  <si>
    <t>5105, 520, 527</t>
  </si>
  <si>
    <t>5125, 524</t>
  </si>
  <si>
    <t>3. Acreedores por arrendamiento financiero</t>
  </si>
  <si>
    <t>5595, 5598</t>
  </si>
  <si>
    <t>4.  Derivados</t>
  </si>
  <si>
    <t>(1034), (1044), (190), (192), 194, 509, 5115, 5135, 5145, 521, 522, 523, 525, 526, 528, 551, 5525, 5530, 5532, 555, 5565, 5566, 560, 561, 569</t>
  </si>
  <si>
    <t>5103, 5104, 5113, 5114, 5123, 5124, 5133, 5134, 5143, 5144, 5523, 5524, 5563, 5564</t>
  </si>
  <si>
    <t>IV. Deudas con empresas del grupo y asociadas a corto plazo</t>
  </si>
  <si>
    <t>V. Acreedores comerciales y otras cuentas apagar</t>
  </si>
  <si>
    <t>400, 401, 405, (406)</t>
  </si>
  <si>
    <t>1. Proveedores</t>
  </si>
  <si>
    <t>403, 404</t>
  </si>
  <si>
    <t>2. Proveedores, empresas del grupo y asociadas</t>
  </si>
  <si>
    <t>3. Acreedores varios</t>
  </si>
  <si>
    <t>465, 466</t>
  </si>
  <si>
    <t>4. Personal (remuneraciones pendientes de pago)</t>
  </si>
  <si>
    <t>5. Pasivos por impuesto corrientes</t>
  </si>
  <si>
    <t>4750, 4751, 4758, 476, 477</t>
  </si>
  <si>
    <t>6. Otras deudas con las Administraciones Públicas</t>
  </si>
  <si>
    <t>7. Anticipos de clientes</t>
  </si>
  <si>
    <t>485, 568</t>
  </si>
  <si>
    <t>VI. Periodificaciones a corto plazo</t>
  </si>
  <si>
    <t>502, 507</t>
  </si>
  <si>
    <t>VII. Deudas con caracteristicas especiales a corto plazo</t>
  </si>
  <si>
    <t>TOTAL PATRIMONIO NETO + PASIVO</t>
  </si>
  <si>
    <t>Verificar la evolución razonable de las cifras de la cuenta de pérdidas y ganancias para detectar variaciones anormales.</t>
  </si>
  <si>
    <t>% s/INCN</t>
  </si>
  <si>
    <t>A) OPERACIONES CONTINUADAS</t>
  </si>
  <si>
    <t>1. Importe neto de la cifra de negocios</t>
  </si>
  <si>
    <t>700,701,702,703,704,(706),(708),(709)</t>
  </si>
  <si>
    <t>a) Ventas</t>
  </si>
  <si>
    <t>b) Prestaciones de servicios</t>
  </si>
  <si>
    <t>71*,(6930),7930</t>
  </si>
  <si>
    <t>2. Variación de existencias de productos terminados y en curso de fabricación</t>
  </si>
  <si>
    <t>3. Trabajos realizados por la empresa para su activo</t>
  </si>
  <si>
    <t>4. Aprovisionamientos</t>
  </si>
  <si>
    <t>(600),610*,6060,6080,6090</t>
  </si>
  <si>
    <t>a) Consumo de mercaderías</t>
  </si>
  <si>
    <t>(601),(602),6061,6062,6081,6082,6091,6092,611*,612*</t>
  </si>
  <si>
    <t>b) Consumo de materias  primas y otras materias consumibles</t>
  </si>
  <si>
    <t>(607)</t>
  </si>
  <si>
    <t>(6931),7931,(6932),7932,(6933),7933</t>
  </si>
  <si>
    <t>d) Deterioro de mercaderías, materias primas y otros aprovisionamientos</t>
  </si>
  <si>
    <t>5. Otros ingresos de explotación</t>
  </si>
  <si>
    <t>a) Ingresos accesorios y otros de gestión corriente</t>
  </si>
  <si>
    <t>740, 747</t>
  </si>
  <si>
    <t>b) subvenciones de explotación incorporadas al resultado del ejercicio</t>
  </si>
  <si>
    <t>6. Gastos de personal</t>
  </si>
  <si>
    <t>(640),(641),(645)</t>
  </si>
  <si>
    <t>a) Sueldos, salarios y asimilados</t>
  </si>
  <si>
    <t>(642),(643),(649)</t>
  </si>
  <si>
    <t>b) Cargas sociales</t>
  </si>
  <si>
    <t>(644),(6457),7950,7957</t>
  </si>
  <si>
    <t>c) Provisiones</t>
  </si>
  <si>
    <t>7. Otros gastos de explotación</t>
  </si>
  <si>
    <t>(62)</t>
  </si>
  <si>
    <t>a) Servicios exteriores</t>
  </si>
  <si>
    <t>(631),(634),636,639</t>
  </si>
  <si>
    <t xml:space="preserve">b) Tributos </t>
  </si>
  <si>
    <t>(650),(694),(695),794,7954</t>
  </si>
  <si>
    <t>c) Pérdidas, deterioro y variación de provisiones por operaciones comerciales</t>
  </si>
  <si>
    <t>(651),(659)</t>
  </si>
  <si>
    <t>d) Otros gastos de gestión corriente</t>
  </si>
  <si>
    <t>(68)</t>
  </si>
  <si>
    <t>8. Amortización del inmovilizado</t>
  </si>
  <si>
    <t>9. Imputación de subvenciones de inmovilizado no financiero y otras</t>
  </si>
  <si>
    <t>7951,7952,7955,7956</t>
  </si>
  <si>
    <t>10. Excesos de provisiones</t>
  </si>
  <si>
    <t>11. Deterioro y resultado por enajencación del inmovilizado</t>
  </si>
  <si>
    <t>(690),(691),(692),790,791,792</t>
  </si>
  <si>
    <t>a) Deterioro  y pérdidas</t>
  </si>
  <si>
    <t>(670),(671),(672),770,771,772</t>
  </si>
  <si>
    <t>b) Resultados por enajenaciones y otras</t>
  </si>
  <si>
    <t>13. Otros resultados</t>
  </si>
  <si>
    <t>14. Ingresos financieros</t>
  </si>
  <si>
    <t>a) De participaciones en instrumentos de patarimonio</t>
  </si>
  <si>
    <t>7600, 7601</t>
  </si>
  <si>
    <t>a1) En empresas del grupo y asociadas</t>
  </si>
  <si>
    <t>a2) En terceros</t>
  </si>
  <si>
    <t>b) De valores negociables y otros instrumentos financieros</t>
  </si>
  <si>
    <t>7610,7611,76200,76201,76210,76211</t>
  </si>
  <si>
    <t>b1) De empresas del grupo y asociadas</t>
  </si>
  <si>
    <t>7612,7613,76202,76203,76212,76213, 767,769</t>
  </si>
  <si>
    <t>b2) De terceros</t>
  </si>
  <si>
    <t>15. Gastos financieros</t>
  </si>
  <si>
    <t>(6610),(6611),(6615),(6616),(6620),(6621),(6640),(6641),(6650),(6651),(6654),(6655)</t>
  </si>
  <si>
    <t>a) Por deudas con empresas del grupo y asociadas</t>
  </si>
  <si>
    <t>(6612),(6613),(6617),(6618),(6622),(6623), (6624),(6642),(6643),(6652),(6653),(6656),(6657),(669)</t>
  </si>
  <si>
    <t>b) Por deudas con terceros</t>
  </si>
  <si>
    <t>(660)</t>
  </si>
  <si>
    <t>c) Por actualización de provisiones</t>
  </si>
  <si>
    <t>16. Variación de valor razonable en instrumentos financieros</t>
  </si>
  <si>
    <t>(6630),(6631),(6633),7630,7631,7633</t>
  </si>
  <si>
    <t>a) Cartera de negocios y otros</t>
  </si>
  <si>
    <t>(6632),7632</t>
  </si>
  <si>
    <t>b) Imputación al resultado del ejercicio por activos financieros para la venta</t>
  </si>
  <si>
    <t>(668),768</t>
  </si>
  <si>
    <t>17. Diferencias de cambio</t>
  </si>
  <si>
    <t>18. Deterioro y resultado por enajenación de instrumetnos financieros</t>
  </si>
  <si>
    <t>(696),(697),(698),(699),796,797,798,799</t>
  </si>
  <si>
    <t>a)  Deterioros y pérdidas</t>
  </si>
  <si>
    <t>(666),(667),(673),(675),766,773,775</t>
  </si>
  <si>
    <t>19. Otros ingresos y gastos de carácter financiero</t>
  </si>
  <si>
    <t>A.3) RESULTADO ANTES DE IMPUESTOS (A.1+A.2)</t>
  </si>
  <si>
    <t>6300*,6301*,(633),638</t>
  </si>
  <si>
    <t>20. Impuestos sobre beneficios</t>
  </si>
  <si>
    <t>B) OPERACIONES INTERRUMPIDAS</t>
  </si>
  <si>
    <t>21. Resultado del ejercicio procedente de operaciones interrumpidas neto de impuestos</t>
  </si>
  <si>
    <t>Obtener los datos relevantes y calculo de ratios a partir de los datos oficiales (Registro Mercantil) de la Empresa.</t>
  </si>
  <si>
    <t>Los datos obtenidos son los siguientes.</t>
  </si>
  <si>
    <t>Consumo</t>
  </si>
  <si>
    <t>Ventas</t>
  </si>
  <si>
    <t>% Consumo / Ventas</t>
  </si>
  <si>
    <t>Coste de personal</t>
  </si>
  <si>
    <t>Coste medio de personal</t>
  </si>
  <si>
    <t>Otros gastos de explotación</t>
  </si>
  <si>
    <t>Gastos financieros</t>
  </si>
  <si>
    <t>Resultado de explotación</t>
  </si>
  <si>
    <t>Resultado antes de impuestos</t>
  </si>
  <si>
    <t>Pérdidas y Ganancias Operaciones continuadas</t>
  </si>
  <si>
    <t>Activo Total</t>
  </si>
  <si>
    <t>Tesorería - Efectivo y otros activos líquidos</t>
  </si>
  <si>
    <t>Pasivo Total (Patrimonio Neto y Pasivo)</t>
  </si>
  <si>
    <t>Patrimonio Neto</t>
  </si>
  <si>
    <t>Activo Corriente</t>
  </si>
  <si>
    <t>Pasivo Corriente</t>
  </si>
  <si>
    <t>Fondo de maniobra</t>
  </si>
  <si>
    <r>
      <t xml:space="preserve">SOLVENCIA </t>
    </r>
    <r>
      <rPr>
        <sz val="8"/>
        <rFont val="Arial"/>
        <family val="2"/>
      </rPr>
      <t>(AT/EX.T)</t>
    </r>
  </si>
  <si>
    <r>
      <t xml:space="preserve">MARGEN COMERCIAL </t>
    </r>
    <r>
      <rPr>
        <sz val="8"/>
        <rFont val="Arial"/>
        <family val="2"/>
      </rPr>
      <t>(R. EX./V)</t>
    </r>
  </si>
  <si>
    <r>
      <t>RENTABILIDAD DE ACTIVO</t>
    </r>
    <r>
      <rPr>
        <sz val="8"/>
        <rFont val="Arial"/>
        <family val="2"/>
      </rPr>
      <t xml:space="preserve"> (R. EX./AT) %</t>
    </r>
  </si>
  <si>
    <t>El dato de número de empleados ha sido facilitado por el cliente.</t>
  </si>
  <si>
    <t>Fourchette de compte état de synthèse -&gt; AI1 Période : 0</t>
  </si>
  <si>
    <t>Fourchette de compte état de synthèse -&gt; AI2 Période : 0</t>
  </si>
  <si>
    <t>Fourchette de compte état de synthèse -&gt; AI3 Période : 0</t>
  </si>
  <si>
    <t>Fourchette de compte état de synthèse -&gt; AI4 Période : 0</t>
  </si>
  <si>
    <t>Fourchette de compte état de synthèse -&gt; AI5 Période : 0</t>
  </si>
  <si>
    <t>Fourchette de compte état de synthèse -&gt; AI6 Période : 0</t>
  </si>
  <si>
    <t>Fourchette de compte état de synthèse -&gt; AI7 Période : 0</t>
  </si>
  <si>
    <t>Fourchette de compte état de synthèse -&gt; AII1 Période : 0</t>
  </si>
  <si>
    <t>Fourchette de compte état de synthèse -&gt; AII2 Période : 0</t>
  </si>
  <si>
    <t>Fourchette de compte état de synthèse -&gt; AII3 Période : 0</t>
  </si>
  <si>
    <t>Fourchette de compte état de synthèse -&gt; AIII1 Période : 0</t>
  </si>
  <si>
    <t>Fourchette de compte état de synthèse -&gt; AIII2 Période : 0</t>
  </si>
  <si>
    <t>Fourchette de compte état de synthèse -&gt; AIV1 Période : 0</t>
  </si>
  <si>
    <t>Fourchette de compte état de synthèse -&gt; AIV2 Période : 0</t>
  </si>
  <si>
    <t>Fourchette de compte état de synthèse -&gt; AIV3 Période : 0</t>
  </si>
  <si>
    <t>Fourchette de compte état de synthèse -&gt; AIV4 Période : 0</t>
  </si>
  <si>
    <t>Fourchette de compte état de synthèse -&gt; AIV5 Période : 0</t>
  </si>
  <si>
    <t>Fourchette de compte état de synthèse -&gt; AIV6 Période : 0</t>
  </si>
  <si>
    <t>Fourchette de compte état de synthèse -&gt; AV1 Période : 0</t>
  </si>
  <si>
    <t>Fourchette de compte état de synthèse -&gt; AV2 Période : 0</t>
  </si>
  <si>
    <t>Fourchette de compte état de synthèse -&gt; AV3 Période : 0</t>
  </si>
  <si>
    <t>Fourchette de compte état de synthèse -&gt; AV4 Période : 0</t>
  </si>
  <si>
    <t>Fourchette de compte état de synthèse -&gt; AV5 Période : 0</t>
  </si>
  <si>
    <t>Fourchette de compte état de synthèse -&gt; AV6 Période : 0</t>
  </si>
  <si>
    <t>Fourchette de compte état de synthèse -&gt; AVI Période : 0</t>
  </si>
  <si>
    <t>Fourchette de compte état de synthèse -&gt; AVII Période : 0</t>
  </si>
  <si>
    <t>Fourchette de compte état de synthèse -&gt; BI Période : 0</t>
  </si>
  <si>
    <t>Fourchette de compte état de synthèse -&gt; BII1 Période : 0</t>
  </si>
  <si>
    <t>Fourchette de compte état de synthèse -&gt; BII2 Période : 0</t>
  </si>
  <si>
    <t>Fourchette de compte état de synthèse -&gt; BII3 Période : 0</t>
  </si>
  <si>
    <t>Fourchette de compte état de synthèse -&gt; BII4 Période : 0</t>
  </si>
  <si>
    <t>Fourchette de compte état de synthèse -&gt; BII5 Période : 0</t>
  </si>
  <si>
    <t>Fourchette de compte état de synthèse -&gt; BII6 Période : 0</t>
  </si>
  <si>
    <t>Fourchette de compte état de synthèse -&gt; BIII1 Période : 0</t>
  </si>
  <si>
    <t>Fourchette de compte état de synthèse -&gt; BIII2 Période : 0</t>
  </si>
  <si>
    <t>Fourchette de compte état de synthèse -&gt; BIII3 Période : 0</t>
  </si>
  <si>
    <t>Fourchette de compte état de synthèse -&gt; BIII4 Période : 0</t>
  </si>
  <si>
    <t>Fourchette de compte état de synthèse -&gt; BIII5 Période : 0</t>
  </si>
  <si>
    <t>Fourchette de compte état de synthèse -&gt; BIII6 Période : 0</t>
  </si>
  <si>
    <t>Fourchette de compte état de synthèse -&gt; BIII7 Période : 0</t>
  </si>
  <si>
    <t>Fourchette de compte état de synthèse -&gt; BIV1 Période : 0</t>
  </si>
  <si>
    <t>Fourchette de compte état de synthèse -&gt; BIV2 Période : 0</t>
  </si>
  <si>
    <t>Fourchette de compte état de synthèse -&gt; BIV3 Période : 0</t>
  </si>
  <si>
    <t>Fourchette de compte état de synthèse -&gt; BIV4 Période : 0</t>
  </si>
  <si>
    <t>Fourchette de compte état de synthèse -&gt; BIV5 Période : 0</t>
  </si>
  <si>
    <t>Fourchette de compte état de synthèse -&gt; BIV6 Période : 0</t>
  </si>
  <si>
    <t>Fourchette de compte état de synthèse -&gt; BV1 Période : 0</t>
  </si>
  <si>
    <t>Fourchette de compte état de synthèse -&gt; BV2 Période : 0</t>
  </si>
  <si>
    <t>Fourchette de compte état de synthèse -&gt; BV3 Période : 0</t>
  </si>
  <si>
    <t>Fourchette de compte état de synthèse -&gt; BV4 Période : 0</t>
  </si>
  <si>
    <t>Fourchette de compte état de synthèse -&gt; BV5 Période : 0</t>
  </si>
  <si>
    <t>Fourchette de compte état de synthèse -&gt; BV6 Période : 0</t>
  </si>
  <si>
    <t>Fourchette de compte état de synthèse -&gt; BVI Période : 0</t>
  </si>
  <si>
    <t>Fourchette de compte état de synthèse -&gt; BVII1 Période : 0</t>
  </si>
  <si>
    <t>Fourchette de compte état de synthèse -&gt; BVII2 Période : 0</t>
  </si>
  <si>
    <t>Fourchette de compte état de synthèse -&gt; A-1I1 Période : 0</t>
  </si>
  <si>
    <t>Fourchette de compte état de synthèse -&gt; A-1I2 Période : 0</t>
  </si>
  <si>
    <t>Fourchette de compte état de synthèse -&gt; A-1II Période : 0</t>
  </si>
  <si>
    <t>Fourchette de compte état de synthèse -&gt; A-1III1 Période : 0</t>
  </si>
  <si>
    <t>Fourchette de compte état de synthèse -&gt; A-1III2 Période : 0</t>
  </si>
  <si>
    <t>Fourchette de compte état de synthèse -&gt; A-1IV Période : 0</t>
  </si>
  <si>
    <t>Fourchette de compte état de synthèse -&gt; A-1V1 Période : 0</t>
  </si>
  <si>
    <t>Fourchette de compte état de synthèse -&gt; A-1V2 Période : 0</t>
  </si>
  <si>
    <t>Fourchette de compte état de synthèse -&gt; A-1VI Période : 0</t>
  </si>
  <si>
    <t>Fourchette de compte état de synthèse -&gt; A-1VII Période : 0</t>
  </si>
  <si>
    <t>Fourchette de compte état de synthèse -&gt; A-1VIII Période : 0</t>
  </si>
  <si>
    <t>Fourchette de compte état de synthèse -&gt; A-1IX Période : 0</t>
  </si>
  <si>
    <t>Fourchette de compte état de synthèse -&gt; A-2I Période : 0</t>
  </si>
  <si>
    <t>Fourchette de compte état de synthèse -&gt; A-2II Période : 0</t>
  </si>
  <si>
    <t>Fourchette de compte état de synthèse -&gt; A-2III Période : 0</t>
  </si>
  <si>
    <t>Fourchette de compte état de synthèse -&gt; A-2IV Période : 0</t>
  </si>
  <si>
    <t>Fourchette de compte état de synthèse -&gt; A-2V Période : 0</t>
  </si>
  <si>
    <t>Fourchette de compte état de synthèse -&gt; A-3 Période : 0</t>
  </si>
  <si>
    <t>Fourchette de compte état de synthèse -&gt; BI1 Période : 0</t>
  </si>
  <si>
    <t>Fourchette de compte état de synthèse -&gt; BI2 Période : 0</t>
  </si>
  <si>
    <t>Fourchette de compte état de synthèse -&gt; BI3 Période : 0</t>
  </si>
  <si>
    <t>Fourchette de compte état de synthèse -&gt; BI4 Période : 0</t>
  </si>
  <si>
    <t>Fourchette de compte état de synthèse -&gt; BII1P Période : 0</t>
  </si>
  <si>
    <t>Fourchette de compte état de synthèse -&gt; BII2P Période : 0</t>
  </si>
  <si>
    <t>Fourchette de compte état de synthèse -&gt; BII3P Période : 0</t>
  </si>
  <si>
    <t>Fourchette de compte état de synthèse -&gt; BII4P Période : 0</t>
  </si>
  <si>
    <t>Fourchette de compte état de synthèse -&gt; BII5P Période : 0</t>
  </si>
  <si>
    <t>Fourchette de compte état de synthèse -&gt; BII6P Période : 0</t>
  </si>
  <si>
    <t>Fourchette de compte état de synthèse -&gt; BIII Période : 0</t>
  </si>
  <si>
    <t>Fourchette de compte état de synthèse -&gt; BIV Période : 0</t>
  </si>
  <si>
    <t>Fourchette de compte état de synthèse -&gt; BV Période : 0</t>
  </si>
  <si>
    <t>Fourchette de compte état de synthèse -&gt; BVIP Période : 0</t>
  </si>
  <si>
    <t>Fourchette de compte état de synthèse -&gt; CI Période : 0</t>
  </si>
  <si>
    <t>Fourchette de compte état de synthèse -&gt; CIII1 Période : 0</t>
  </si>
  <si>
    <t>Fourchette de compte état de synthèse -&gt; CIII2 Période : 0</t>
  </si>
  <si>
    <t>Fourchette de compte état de synthèse -&gt; CIII3 Période : 0</t>
  </si>
  <si>
    <t>Fourchette de compte état de synthèse -&gt; CIII4 Période : 0</t>
  </si>
  <si>
    <t>Fourchette de compte état de synthèse -&gt; CIII5 Période : 0</t>
  </si>
  <si>
    <t>Fourchette de compte état de synthèse -&gt; CIII6 Période : 0</t>
  </si>
  <si>
    <t>Fourchette de compte état de synthèse -&gt; CIV Période : 0</t>
  </si>
  <si>
    <t>Fourchette de compte état de synthèse -&gt; CV1 Période : 0</t>
  </si>
  <si>
    <t>Fourchette de compte état de synthèse -&gt; CV2 Période : 0</t>
  </si>
  <si>
    <t>Fourchette de compte état de synthèse -&gt; CV3 Période : 0</t>
  </si>
  <si>
    <t>Fourchette de compte état de synthèse -&gt; CV4 Période : 0</t>
  </si>
  <si>
    <t>Fourchette de compte état de synthèse -&gt; CV5 Période : 0</t>
  </si>
  <si>
    <t>Fourchette de compte état de synthèse -&gt; CV6 Période : 0</t>
  </si>
  <si>
    <t>Fourchette de compte état de synthèse -&gt; CV7 Période : 0</t>
  </si>
  <si>
    <t>Fourchette de compte état de synthèse -&gt; CVI Période : 0</t>
  </si>
  <si>
    <t>Fourchette de compte état de synthèse -&gt; A1a Période : 0</t>
  </si>
  <si>
    <t>Fourchette de compte état de synthèse -&gt; A1b Période : 0</t>
  </si>
  <si>
    <t>Fourchette de compte état de synthèse -&gt; A2 Période : 0</t>
  </si>
  <si>
    <t>Fourchette de compte état de synthèse -&gt; A3 Période : 0</t>
  </si>
  <si>
    <t>Fourchette de compte état de synthèse -&gt; A4a Période : 0</t>
  </si>
  <si>
    <t>Fourchette de compte état de synthèse -&gt; A4b Période : 0</t>
  </si>
  <si>
    <t>Fourchette de compte état de synthèse -&gt; A4c Période : 0</t>
  </si>
  <si>
    <t>Fourchette de compte état de synthèse -&gt; A4d Période : 0</t>
  </si>
  <si>
    <t>Fourchette de compte état de synthèse -&gt; A5a Période : 0</t>
  </si>
  <si>
    <t>Fourchette de compte état de synthèse -&gt; A5b Période : 0</t>
  </si>
  <si>
    <t>Fourchette de compte état de synthèse -&gt; A6a Période : 0</t>
  </si>
  <si>
    <t>Fourchette de compte état de synthèse -&gt; A6b Période : 0</t>
  </si>
  <si>
    <t>Fourchette de compte état de synthèse -&gt; A6c Période : 0</t>
  </si>
  <si>
    <t>Fourchette de compte état de synthèse -&gt; A7a Période : 0</t>
  </si>
  <si>
    <t>Fourchette de compte état de synthèse -&gt; A7b Période : 0</t>
  </si>
  <si>
    <t>Fourchette de compte état de synthèse -&gt; A7c Période : 0</t>
  </si>
  <si>
    <t>Fourchette de compte état de synthèse -&gt; A7d Période : 0</t>
  </si>
  <si>
    <t>Fourchette de compte état de synthèse -&gt; A8 Période : 0</t>
  </si>
  <si>
    <t>Fourchette de compte état de synthèse -&gt; A9 Période : 0</t>
  </si>
  <si>
    <t>Fourchette de compte état de synthèse -&gt; A10 Période : 0</t>
  </si>
  <si>
    <t>Fourchette de compte état de synthèse -&gt; A11a Période : 0</t>
  </si>
  <si>
    <t>Fourchette de compte état de synthèse -&gt; A11b Période : 0</t>
  </si>
  <si>
    <t>Fourchette de compte état de synthèse -&gt; A12 Période : 0</t>
  </si>
  <si>
    <t>Fourchette de compte état de synthèse -&gt; A13 Période : 0</t>
  </si>
  <si>
    <t>Fourchette de compte état de synthèse -&gt; A14aa1 Période : 0</t>
  </si>
  <si>
    <t>Fourchette de compte état de synthèse -&gt; A14aa2 Période : 0</t>
  </si>
  <si>
    <t>Fourchette de compte état de synthèse -&gt; A14bb1 Période : 0</t>
  </si>
  <si>
    <t>Fourchette de compte état de synthèse -&gt; A14bb2 Période : 0</t>
  </si>
  <si>
    <t>Fourchette de compte état de synthèse -&gt; A15a Période : 0</t>
  </si>
  <si>
    <t>Fourchette de compte état de synthèse -&gt; A15b Période : 0</t>
  </si>
  <si>
    <t>Fourchette de compte état de synthèse -&gt; A15c Période : 0</t>
  </si>
  <si>
    <t>Cuentas que componen el Epígrafe de los Estados Financieros -&gt; A15d Periodo : Periodo en curso</t>
  </si>
  <si>
    <t>Fourchette de compte état de synthèse -&gt; A16a Période : 0</t>
  </si>
  <si>
    <t>Fourchette de compte état de synthèse -&gt; A16b Période : 0</t>
  </si>
  <si>
    <t>Fourchette de compte état de synthèse -&gt; A17 Période : 0</t>
  </si>
  <si>
    <t>Fourchette de compte état de synthèse -&gt; A18a Période : 0</t>
  </si>
  <si>
    <t>Fourchette de compte état de synthèse -&gt; A18b Période : 0</t>
  </si>
  <si>
    <t>Fourchette de compte état de synthèse -&gt; A19 Période : 0</t>
  </si>
  <si>
    <t>Cuentas que componen el Epígrafe de los Estados Financieros -&gt; A20 Periodo : Periodo en curso</t>
  </si>
  <si>
    <t>FC:2:AI1</t>
  </si>
  <si>
    <t>FC:2:AI2</t>
  </si>
  <si>
    <t>FC:2:AI3</t>
  </si>
  <si>
    <t>FC:2:AI4</t>
  </si>
  <si>
    <t>FC:2:AI5</t>
  </si>
  <si>
    <t>FC:2:AI6</t>
  </si>
  <si>
    <t>FC:2:AI7</t>
  </si>
  <si>
    <t>FC:2:AII1</t>
  </si>
  <si>
    <t>FC:2:AII2</t>
  </si>
  <si>
    <t>FC:2:AII3</t>
  </si>
  <si>
    <t>FC:2:AIII1</t>
  </si>
  <si>
    <t>FC:2:AIII2</t>
  </si>
  <si>
    <t>FC:2:AIV1</t>
  </si>
  <si>
    <t>FC:2:AIV2</t>
  </si>
  <si>
    <t>FC:2:AIV3</t>
  </si>
  <si>
    <t>FC:2:AIV4</t>
  </si>
  <si>
    <t>FC:2:AIV5</t>
  </si>
  <si>
    <t>FC:2:AIV6</t>
  </si>
  <si>
    <t>FC:2:AV1</t>
  </si>
  <si>
    <t>FC:2:AV2</t>
  </si>
  <si>
    <t>FC:2:AV3</t>
  </si>
  <si>
    <t>FC:2:AV4</t>
  </si>
  <si>
    <t>FC:2:AV5</t>
  </si>
  <si>
    <t>FC:2:AV6</t>
  </si>
  <si>
    <t>FC:2:AVI</t>
  </si>
  <si>
    <t>FC:2:AVII</t>
  </si>
  <si>
    <t>FC:2:BI</t>
  </si>
  <si>
    <t>FC:2:BII1</t>
  </si>
  <si>
    <t>FC:2:BII2</t>
  </si>
  <si>
    <t>FC:2:BII3</t>
  </si>
  <si>
    <t>FC:2:BII4</t>
  </si>
  <si>
    <t>FC:2:BII5</t>
  </si>
  <si>
    <t>FC:2:BII6</t>
  </si>
  <si>
    <t>FC:2:BIII1</t>
  </si>
  <si>
    <t>FC:2:BIII2</t>
  </si>
  <si>
    <t>FC:2:BIII3</t>
  </si>
  <si>
    <t>FC:2:BIII4</t>
  </si>
  <si>
    <t>FC:2:BIII5</t>
  </si>
  <si>
    <t>FC:2:BIII6</t>
  </si>
  <si>
    <t>FC:2:BIII7</t>
  </si>
  <si>
    <t>FC:2:BIV1</t>
  </si>
  <si>
    <t>FC:2:BIV2</t>
  </si>
  <si>
    <t>FC:2:BIV3</t>
  </si>
  <si>
    <t>FC:2:BIV4</t>
  </si>
  <si>
    <t>FC:2:BIV5</t>
  </si>
  <si>
    <t>FC:2:BIV6</t>
  </si>
  <si>
    <t>FC:2:BV1</t>
  </si>
  <si>
    <t>FC:2:BV2</t>
  </si>
  <si>
    <t>FC:2:BV3</t>
  </si>
  <si>
    <t>FC:2:BV4</t>
  </si>
  <si>
    <t>FC:2:BV5</t>
  </si>
  <si>
    <t>FC:2:BV6</t>
  </si>
  <si>
    <t>FC:2:BVI</t>
  </si>
  <si>
    <t>FC:2:BVII1</t>
  </si>
  <si>
    <t>FC:2:BVII2</t>
  </si>
  <si>
    <t>FC:2:A-1I1</t>
  </si>
  <si>
    <t>FC:2:A-1I2</t>
  </si>
  <si>
    <t>FC:2:A-1II</t>
  </si>
  <si>
    <t>FC:2:A-1III1</t>
  </si>
  <si>
    <t>FC:2:A-1III2</t>
  </si>
  <si>
    <t>FC:2:A-1IV</t>
  </si>
  <si>
    <t>FC:2:A-1V1</t>
  </si>
  <si>
    <t>FC:2:A-1V2</t>
  </si>
  <si>
    <t>FC:2:A-1VI</t>
  </si>
  <si>
    <t>FC:2:A-1VII</t>
  </si>
  <si>
    <t>FC:2:A-1VIII</t>
  </si>
  <si>
    <t>FC:2:A-1IX</t>
  </si>
  <si>
    <t>FC:2:A-2I</t>
  </si>
  <si>
    <t>FC:2:A-2II</t>
  </si>
  <si>
    <t>FC:2:A-2III</t>
  </si>
  <si>
    <t>FC:2:A-2IV</t>
  </si>
  <si>
    <t>FC:2:A-2V</t>
  </si>
  <si>
    <t>FC:2:A-3</t>
  </si>
  <si>
    <t>FC:2:BI1</t>
  </si>
  <si>
    <t>FC:2:BI2</t>
  </si>
  <si>
    <t>FC:2:BI3</t>
  </si>
  <si>
    <t>FC:2:BI4</t>
  </si>
  <si>
    <t>FC:2:BII1P</t>
  </si>
  <si>
    <t>FC:2:BII2P</t>
  </si>
  <si>
    <t>FC:2:BII3P</t>
  </si>
  <si>
    <t>FC:2:BII4P</t>
  </si>
  <si>
    <t>FC:2:BII5P</t>
  </si>
  <si>
    <t>FC:2:BII6P</t>
  </si>
  <si>
    <t>FC:2:BIII</t>
  </si>
  <si>
    <t>FC:2:BIV</t>
  </si>
  <si>
    <t>FC:2:BV</t>
  </si>
  <si>
    <t>FC:2:BVIP</t>
  </si>
  <si>
    <t>FC:2:CI</t>
  </si>
  <si>
    <t>FC:2:CIII1</t>
  </si>
  <si>
    <t>FC:2:CIII2</t>
  </si>
  <si>
    <t>FC:2:CIII3</t>
  </si>
  <si>
    <t>FC:2:CIII4</t>
  </si>
  <si>
    <t>FC:2:CIII5</t>
  </si>
  <si>
    <t>FC:2:CIII6</t>
  </si>
  <si>
    <t>FC:2:CIV</t>
  </si>
  <si>
    <t>FC:2:CV1</t>
  </si>
  <si>
    <t>FC:2:CV2</t>
  </si>
  <si>
    <t>FC:2:CV3</t>
  </si>
  <si>
    <t>FC:2:CV4</t>
  </si>
  <si>
    <t>FC:2:CV5</t>
  </si>
  <si>
    <t>FC:2:CV6</t>
  </si>
  <si>
    <t>FC:2:CV7</t>
  </si>
  <si>
    <t>FC:2:CVI</t>
  </si>
  <si>
    <t>FC:2:A1a</t>
  </si>
  <si>
    <t>FC:2:A1b</t>
  </si>
  <si>
    <t>FC:2:A2</t>
  </si>
  <si>
    <t>FC:2:A3</t>
  </si>
  <si>
    <t>FC:2:A4a</t>
  </si>
  <si>
    <t>FC:2:A4b</t>
  </si>
  <si>
    <t>FC:2:A4c</t>
  </si>
  <si>
    <t>FC:2:A4d</t>
  </si>
  <si>
    <t>FC:2:A5a</t>
  </si>
  <si>
    <t>FC:2:A5b</t>
  </si>
  <si>
    <t>FC:2:A6a</t>
  </si>
  <si>
    <t>FC:2:A6b</t>
  </si>
  <si>
    <t>FC:2:A6c</t>
  </si>
  <si>
    <t>FC:2:A7a</t>
  </si>
  <si>
    <t>FC:2:A7b</t>
  </si>
  <si>
    <t>FC:2:A7c</t>
  </si>
  <si>
    <t>FC:2:A7d</t>
  </si>
  <si>
    <t>FC:2:A8</t>
  </si>
  <si>
    <t>FC:2:A9</t>
  </si>
  <si>
    <t>FC:2:A10</t>
  </si>
  <si>
    <t>FC:2:A11a</t>
  </si>
  <si>
    <t>FC:2:A11b</t>
  </si>
  <si>
    <t>FC:2:A12</t>
  </si>
  <si>
    <t>FC:2:A13</t>
  </si>
  <si>
    <t>FC:2:A14aa1</t>
  </si>
  <si>
    <t>FC:2:A14aa2</t>
  </si>
  <si>
    <t>FC:2:A14bb1</t>
  </si>
  <si>
    <t>FC:2:A14bb2</t>
  </si>
  <si>
    <t>FC:2:A15a</t>
  </si>
  <si>
    <t>FC:2:A15b</t>
  </si>
  <si>
    <t>FC:2:A15c</t>
  </si>
  <si>
    <t>FC:2:A15d</t>
  </si>
  <si>
    <t>FC:2:A16a</t>
  </si>
  <si>
    <t>FC:2:A16b</t>
  </si>
  <si>
    <t>FC:2:A17</t>
  </si>
  <si>
    <t>FC:2:A18a</t>
  </si>
  <si>
    <t>FC:2:A18b</t>
  </si>
  <si>
    <t>FC:2:A19</t>
  </si>
  <si>
    <t>FC:2:A20</t>
  </si>
  <si>
    <t>PLANIFICACIÓN</t>
  </si>
  <si>
    <t>A.1) RESULTADOS DE EXPLOTACIÓN (1+2+3+4+5+6+7+8+9+10+11+12+13)</t>
  </si>
  <si>
    <t>A.2) RESULTADO FINANCIERO (14+15+16+17+18+19)</t>
  </si>
  <si>
    <t>A.4) RESULTADO DEL EJERCICIO PROCEDENTE DE OPERACIONES CONTINUADAS (A.3+20)</t>
  </si>
  <si>
    <t>A.5) RESULTADO DEL EJERCICIO (A.4+21)</t>
  </si>
  <si>
    <t>N-1</t>
  </si>
  <si>
    <t>BAJO</t>
  </si>
  <si>
    <t>MEDIO</t>
  </si>
  <si>
    <t>ALTO</t>
  </si>
  <si>
    <t>Indica la evolución de la cifra de ventas. La evolución debe ser positiva.</t>
  </si>
  <si>
    <t>% s/ Ventas</t>
  </si>
  <si>
    <t>Rentabilidad media obtenida por la empresa mediante su actividad, a partir de sus fondos propios.</t>
  </si>
  <si>
    <t>Liquidez General</t>
  </si>
  <si>
    <t>EVOLUCIÓN NEGATIVA DEL RATIO</t>
  </si>
  <si>
    <t>Parte del activo circulante financiada con capital permanente. Debe tener valores positivos.</t>
  </si>
  <si>
    <t>Relaciona el pasivo y activo fijo. Si es mayor que 1 indica un fondo de maniobra positivo, y si es menor que 1, fondo de maniobra negativo.</t>
  </si>
  <si>
    <t>CONCLUSIÓN:</t>
  </si>
  <si>
    <t>Del análisis efectuado podemos concluir lo siguiente:</t>
  </si>
  <si>
    <t>grados</t>
  </si>
  <si>
    <t>PUNTOS</t>
  </si>
  <si>
    <t>X</t>
  </si>
  <si>
    <t>El análisis efectuado será tenido en consideración a la hora de determinar el alcance, naturaleza y momento de realización de las pruebas de auditoría.</t>
  </si>
  <si>
    <t>EVOLUCIÓN POSITIVA DEL RATIO</t>
  </si>
  <si>
    <r>
      <t xml:space="preserve">ROTACION DEL ACTIVO </t>
    </r>
    <r>
      <rPr>
        <sz val="8"/>
        <color indexed="10"/>
        <rFont val="Arial"/>
        <family val="2"/>
      </rPr>
      <t>(V/AT)</t>
    </r>
  </si>
  <si>
    <r>
      <t xml:space="preserve">FONDO DE MANIOBRA </t>
    </r>
    <r>
      <rPr>
        <sz val="8"/>
        <color indexed="10"/>
        <rFont val="Arial"/>
        <family val="2"/>
      </rPr>
      <t>(AC-PC)</t>
    </r>
  </si>
  <si>
    <r>
      <t xml:space="preserve">LIQUIDEZ GENERAL </t>
    </r>
    <r>
      <rPr>
        <sz val="8"/>
        <color indexed="10"/>
        <rFont val="Arial"/>
        <family val="2"/>
      </rPr>
      <t>(AC/PC)</t>
    </r>
  </si>
  <si>
    <r>
      <t xml:space="preserve">LIQUIDEZ INMEDIATA </t>
    </r>
    <r>
      <rPr>
        <sz val="8"/>
        <color indexed="10"/>
        <rFont val="Arial"/>
        <family val="2"/>
      </rPr>
      <t>((IFT+T)/(A.C.P.)</t>
    </r>
  </si>
  <si>
    <r>
      <t xml:space="preserve">RATIO DE ENDEUDAMIENTO </t>
    </r>
    <r>
      <rPr>
        <sz val="8"/>
        <color indexed="10"/>
        <rFont val="Arial"/>
        <family val="2"/>
      </rPr>
      <t>((TP-FP)/TP) %</t>
    </r>
  </si>
  <si>
    <t>N-2</t>
  </si>
  <si>
    <t>FC:4:AI1</t>
  </si>
  <si>
    <t>FC:4:AI2</t>
  </si>
  <si>
    <t>FC:4:AI3</t>
  </si>
  <si>
    <t>FC:4:AI4</t>
  </si>
  <si>
    <t>FC:4:AI5</t>
  </si>
  <si>
    <t>FC:4:AI6</t>
  </si>
  <si>
    <t>FC:4:AI7</t>
  </si>
  <si>
    <t>FC:4:AII1</t>
  </si>
  <si>
    <t>FC:4:AII2</t>
  </si>
  <si>
    <t>FC:4:AII3</t>
  </si>
  <si>
    <t>FC:4:AIII1</t>
  </si>
  <si>
    <t>FC:4:AIII2</t>
  </si>
  <si>
    <t>FC:4:AIV1</t>
  </si>
  <si>
    <t>FC:4:AIV2</t>
  </si>
  <si>
    <t>FC:4:AIV3</t>
  </si>
  <si>
    <t>FC:4:AIV4</t>
  </si>
  <si>
    <t>FC:4:AIV5</t>
  </si>
  <si>
    <t>FC:4:AIV6</t>
  </si>
  <si>
    <t>FC:4:AV1</t>
  </si>
  <si>
    <t>FC:4:AV2</t>
  </si>
  <si>
    <t>FC:4:AV3</t>
  </si>
  <si>
    <t>FC:4:AV4</t>
  </si>
  <si>
    <t>FC:4:AV5</t>
  </si>
  <si>
    <t>FC:4:AV6</t>
  </si>
  <si>
    <t>FC:4:AVI</t>
  </si>
  <si>
    <t>FC:4:AVII</t>
  </si>
  <si>
    <t>FC:4:BI</t>
  </si>
  <si>
    <t>FC:4:BII1</t>
  </si>
  <si>
    <t>FC:4:BII2</t>
  </si>
  <si>
    <t>FC:4:BII3</t>
  </si>
  <si>
    <t>FC:4:BII4</t>
  </si>
  <si>
    <t>FC:4:BII5</t>
  </si>
  <si>
    <t>FC:4:BII6</t>
  </si>
  <si>
    <t>FC:4:BIII1</t>
  </si>
  <si>
    <t>FC:4:BIII2</t>
  </si>
  <si>
    <t>FC:4:BIII3</t>
  </si>
  <si>
    <t>FC:4:BIII4</t>
  </si>
  <si>
    <t>FC:4:BIII5</t>
  </si>
  <si>
    <t>FC:4:BIII6</t>
  </si>
  <si>
    <t>FC:4:BIII7</t>
  </si>
  <si>
    <t>FC:4:BIV1</t>
  </si>
  <si>
    <t>FC:4:BIV2</t>
  </si>
  <si>
    <t>FC:4:BIV3</t>
  </si>
  <si>
    <t>FC:4:BIV4</t>
  </si>
  <si>
    <t>FC:4:BIV5</t>
  </si>
  <si>
    <t>FC:4:BIV6</t>
  </si>
  <si>
    <t>FC:4:BV1</t>
  </si>
  <si>
    <t>FC:4:BV2</t>
  </si>
  <si>
    <t>FC:4:BV3</t>
  </si>
  <si>
    <t>FC:4:BV4</t>
  </si>
  <si>
    <t>FC:4:BV5</t>
  </si>
  <si>
    <t>FC:4:BV6</t>
  </si>
  <si>
    <t>FC:4:BVI</t>
  </si>
  <si>
    <t>FC:4:BVII1</t>
  </si>
  <si>
    <t>FC:4:BVII2</t>
  </si>
  <si>
    <t>FC:4:A-1I1</t>
  </si>
  <si>
    <t>FC:4:A-1I2</t>
  </si>
  <si>
    <t>FC:4:A-1II</t>
  </si>
  <si>
    <t>FC:4:A-1III1</t>
  </si>
  <si>
    <t>FC:4:A-1III2</t>
  </si>
  <si>
    <t>FC:4:A-1IV</t>
  </si>
  <si>
    <t>FC:4:A-1V1</t>
  </si>
  <si>
    <t>FC:4:A-1V2</t>
  </si>
  <si>
    <t>FC:4:A-1VI</t>
  </si>
  <si>
    <t>FC:4:A-1VII</t>
  </si>
  <si>
    <t>FC:4:A-1VIII</t>
  </si>
  <si>
    <t>FC:4:A-1IX</t>
  </si>
  <si>
    <t>FC:4:A-2I</t>
  </si>
  <si>
    <t>FC:4:A-2II</t>
  </si>
  <si>
    <t>FC:4:A-2III</t>
  </si>
  <si>
    <t>FC:4:A-2IV</t>
  </si>
  <si>
    <t>FC:4:A-2V</t>
  </si>
  <si>
    <t>FC:4:A-3</t>
  </si>
  <si>
    <t>FC:4:BI1</t>
  </si>
  <si>
    <t>FC:4:BI2</t>
  </si>
  <si>
    <t>FC:4:BI3</t>
  </si>
  <si>
    <t>FC:4:BI4</t>
  </si>
  <si>
    <t>FC:4:BII1P</t>
  </si>
  <si>
    <t>FC:4:BII2P</t>
  </si>
  <si>
    <t>FC:4:BII3P</t>
  </si>
  <si>
    <t>FC:4:BII4P</t>
  </si>
  <si>
    <t>FC:4:BII5P</t>
  </si>
  <si>
    <t>FC:4:BII6P</t>
  </si>
  <si>
    <t>FC:4:BIII</t>
  </si>
  <si>
    <t>FC:4:BIV</t>
  </si>
  <si>
    <t>FC:4:BV</t>
  </si>
  <si>
    <t>FC:4:BVIP</t>
  </si>
  <si>
    <t>FC:4:CI</t>
  </si>
  <si>
    <t>FC:4:CIII1</t>
  </si>
  <si>
    <t>FC:4:CIII2</t>
  </si>
  <si>
    <t>FC:4:CIII3</t>
  </si>
  <si>
    <t>FC:4:CIII4</t>
  </si>
  <si>
    <t>FC:4:CIII5</t>
  </si>
  <si>
    <t>FC:4:CIII6</t>
  </si>
  <si>
    <t>FC:4:CIV</t>
  </si>
  <si>
    <t>FC:4:CV1</t>
  </si>
  <si>
    <t>FC:4:CV2</t>
  </si>
  <si>
    <t>FC:4:CV3</t>
  </si>
  <si>
    <t>FC:4:CV4</t>
  </si>
  <si>
    <t>FC:4:CV5</t>
  </si>
  <si>
    <t>FC:4:CV6</t>
  </si>
  <si>
    <t>FC:4:CV7</t>
  </si>
  <si>
    <t>FC:4:CVI</t>
  </si>
  <si>
    <t>FC:4:A1a</t>
  </si>
  <si>
    <t>FC:4:A1b</t>
  </si>
  <si>
    <t>FC:4:A2</t>
  </si>
  <si>
    <t>FC:4:A3</t>
  </si>
  <si>
    <t>FC:4:A4a</t>
  </si>
  <si>
    <t>FC:4:A4b</t>
  </si>
  <si>
    <t>FC:4:A4c</t>
  </si>
  <si>
    <t>FC:4:A4d</t>
  </si>
  <si>
    <t>FC:4:A5a</t>
  </si>
  <si>
    <t>FC:4:A5b</t>
  </si>
  <si>
    <t>FC:4:A6a</t>
  </si>
  <si>
    <t>FC:4:A6b</t>
  </si>
  <si>
    <t>FC:4:A6c</t>
  </si>
  <si>
    <t>FC:4:A7a</t>
  </si>
  <si>
    <t>FC:4:A7b</t>
  </si>
  <si>
    <t>FC:4:A7c</t>
  </si>
  <si>
    <t>FC:4:A7d</t>
  </si>
  <si>
    <t>FC:4:A8</t>
  </si>
  <si>
    <t>FC:4:A9</t>
  </si>
  <si>
    <t>FC:4:A10</t>
  </si>
  <si>
    <t>FC:4:A11a</t>
  </si>
  <si>
    <t>FC:4:A11b</t>
  </si>
  <si>
    <t>FC:4:A12</t>
  </si>
  <si>
    <t>FC:4:A13</t>
  </si>
  <si>
    <t>FC:4:A14aa1</t>
  </si>
  <si>
    <t>FC:4:A14aa2</t>
  </si>
  <si>
    <t>FC:4:A14bb1</t>
  </si>
  <si>
    <t>FC:4:A14bb2</t>
  </si>
  <si>
    <t>FC:4:A15a</t>
  </si>
  <si>
    <t>FC:4:A15b</t>
  </si>
  <si>
    <t>FC:4:A15c</t>
  </si>
  <si>
    <t>FC:4:A15d</t>
  </si>
  <si>
    <t>FC:4:A16a</t>
  </si>
  <si>
    <t>FC:4:A16b</t>
  </si>
  <si>
    <t>FC:4:A17</t>
  </si>
  <si>
    <t>FC:4:A18a</t>
  </si>
  <si>
    <t>FC:4:A18b</t>
  </si>
  <si>
    <t>FC:4:A19</t>
  </si>
  <si>
    <t>FC:4:A20</t>
  </si>
  <si>
    <t>EXPLOTACIÓN</t>
  </si>
  <si>
    <t>BALANCE DE SITUACIÓN</t>
  </si>
  <si>
    <t>FC:1:AI1</t>
  </si>
  <si>
    <t>FC:1:AI2</t>
  </si>
  <si>
    <t>FC:1:AI3</t>
  </si>
  <si>
    <t>FC:1:AI4</t>
  </si>
  <si>
    <t>FC:1:AI5</t>
  </si>
  <si>
    <t>FC:1:AI6</t>
  </si>
  <si>
    <t>FC:1:AI7</t>
  </si>
  <si>
    <t>FC:1:AII1</t>
  </si>
  <si>
    <t>FC:1:AII2</t>
  </si>
  <si>
    <t>FC:1:AII3</t>
  </si>
  <si>
    <t>FC:1:AIII1</t>
  </si>
  <si>
    <t>FC:1:AIII2</t>
  </si>
  <si>
    <t>FC:1:AIV1</t>
  </si>
  <si>
    <t>FC:1:AIV2</t>
  </si>
  <si>
    <t>FC:1:AIV3</t>
  </si>
  <si>
    <t>FC:1:AIV4</t>
  </si>
  <si>
    <t>FC:1:AIV5</t>
  </si>
  <si>
    <t>FC:1:AIV6</t>
  </si>
  <si>
    <t>FC:1:AV1</t>
  </si>
  <si>
    <t>FC:1:AV2</t>
  </si>
  <si>
    <t>FC:1:AV3</t>
  </si>
  <si>
    <t>FC:1:AV4</t>
  </si>
  <si>
    <t>FC:1:AV5</t>
  </si>
  <si>
    <t>FC:1:AV6</t>
  </si>
  <si>
    <t>FC:1:AVI</t>
  </si>
  <si>
    <t>FC:1:AVII</t>
  </si>
  <si>
    <t>FC:1:BI</t>
  </si>
  <si>
    <t>FC:1:BII1</t>
  </si>
  <si>
    <t>FC:1:BII2</t>
  </si>
  <si>
    <t>FC:1:BII3</t>
  </si>
  <si>
    <t>FC:1:BII4</t>
  </si>
  <si>
    <t>FC:1:BII5</t>
  </si>
  <si>
    <t>FC:1:BII6</t>
  </si>
  <si>
    <t>FC:1:BIII1</t>
  </si>
  <si>
    <t>FC:1:BIII2</t>
  </si>
  <si>
    <t>FC:1:BIII3</t>
  </si>
  <si>
    <t>FC:1:BIII4</t>
  </si>
  <si>
    <t>FC:1:BIII5</t>
  </si>
  <si>
    <t>FC:1:BIII6</t>
  </si>
  <si>
    <t>FC:1:BIII7</t>
  </si>
  <si>
    <t>FC:1:BIV1</t>
  </si>
  <si>
    <t>FC:1:BIV2</t>
  </si>
  <si>
    <t>FC:1:BIV3</t>
  </si>
  <si>
    <t>FC:1:BIV4</t>
  </si>
  <si>
    <t>FC:1:BIV5</t>
  </si>
  <si>
    <t>FC:1:BIV6</t>
  </si>
  <si>
    <t>FC:1:BV1</t>
  </si>
  <si>
    <t>FC:1:BV2</t>
  </si>
  <si>
    <t>FC:1:BV3</t>
  </si>
  <si>
    <t>FC:1:BV4</t>
  </si>
  <si>
    <t>FC:1:BV5</t>
  </si>
  <si>
    <t>FC:1:BV6</t>
  </si>
  <si>
    <t>FC:1:BVI</t>
  </si>
  <si>
    <t>FC:1:BVII1</t>
  </si>
  <si>
    <t>FC:1:BVII2</t>
  </si>
  <si>
    <t>FC:1:A-1I1</t>
  </si>
  <si>
    <t>FC:1:A-1I2</t>
  </si>
  <si>
    <t>FC:1:A-1II</t>
  </si>
  <si>
    <t>FC:1:A-1III1</t>
  </si>
  <si>
    <t>FC:1:A-1III2</t>
  </si>
  <si>
    <t>FC:1:A-1IV</t>
  </si>
  <si>
    <t>FC:1:A-1V1</t>
  </si>
  <si>
    <t>FC:1:A-1V2</t>
  </si>
  <si>
    <t>FC:1:A-1VI</t>
  </si>
  <si>
    <t>FC:1:A-1VII</t>
  </si>
  <si>
    <t>FC:1:A-1VIII</t>
  </si>
  <si>
    <t>FC:1:A-1IX</t>
  </si>
  <si>
    <t>FC:1:A-2I</t>
  </si>
  <si>
    <t>FC:1:A-2II</t>
  </si>
  <si>
    <t>FC:1:A-2III</t>
  </si>
  <si>
    <t>FC:1:A-2IV</t>
  </si>
  <si>
    <t>FC:1:A-2V</t>
  </si>
  <si>
    <t>FC:1:A-3</t>
  </si>
  <si>
    <t>FC:1:BI1</t>
  </si>
  <si>
    <t>FC:1:BI2</t>
  </si>
  <si>
    <t>FC:1:BI3</t>
  </si>
  <si>
    <t>FC:1:BI4</t>
  </si>
  <si>
    <t>FC:1:BII1P</t>
  </si>
  <si>
    <t>FC:1:BII2P</t>
  </si>
  <si>
    <t>FC:1:BII3P</t>
  </si>
  <si>
    <t>FC:1:BII4P</t>
  </si>
  <si>
    <t>FC:1:BII5P</t>
  </si>
  <si>
    <t>FC:1:BII6P</t>
  </si>
  <si>
    <t>FC:1:BIII</t>
  </si>
  <si>
    <t>FC:1:BIV</t>
  </si>
  <si>
    <t>FC:1:BV</t>
  </si>
  <si>
    <t>FC:1:BVIP</t>
  </si>
  <si>
    <t>FC:1:CI</t>
  </si>
  <si>
    <t>FC:1:CIII1</t>
  </si>
  <si>
    <t>FC:1:CIII2</t>
  </si>
  <si>
    <t>FC:1:CIII3</t>
  </si>
  <si>
    <t>FC:1:CIII4</t>
  </si>
  <si>
    <t>FC:1:CIII5</t>
  </si>
  <si>
    <t>FC:1:CIII6</t>
  </si>
  <si>
    <t>FC:1:CIV</t>
  </si>
  <si>
    <t>FC:1:CV1</t>
  </si>
  <si>
    <t>FC:1:CV2</t>
  </si>
  <si>
    <t>FC:1:CV3</t>
  </si>
  <si>
    <t>FC:1:CV4</t>
  </si>
  <si>
    <t>FC:1:CV5</t>
  </si>
  <si>
    <t>FC:1:CV6</t>
  </si>
  <si>
    <t>FC:1:CV7</t>
  </si>
  <si>
    <t>FC:1:CVI</t>
  </si>
  <si>
    <t>FC:1:A1a</t>
  </si>
  <si>
    <t>FC:1:A1b</t>
  </si>
  <si>
    <t>FC:1:A2</t>
  </si>
  <si>
    <t>FC:1:A3</t>
  </si>
  <si>
    <t>FC:1:A4a</t>
  </si>
  <si>
    <t>FC:1:A4b</t>
  </si>
  <si>
    <t>FC:1:A4c</t>
  </si>
  <si>
    <t>FC:1:A4d</t>
  </si>
  <si>
    <t>FC:1:A5a</t>
  </si>
  <si>
    <t>FC:1:A5b</t>
  </si>
  <si>
    <t>FC:1:A6a</t>
  </si>
  <si>
    <t>FC:1:A6b</t>
  </si>
  <si>
    <t>FC:1:A6c</t>
  </si>
  <si>
    <t>FC:1:A7a</t>
  </si>
  <si>
    <t>FC:1:A7b</t>
  </si>
  <si>
    <t>FC:1:A7c</t>
  </si>
  <si>
    <t>FC:1:A7d</t>
  </si>
  <si>
    <t>FC:1:A8</t>
  </si>
  <si>
    <t>FC:1:A9</t>
  </si>
  <si>
    <t>FC:1:A10</t>
  </si>
  <si>
    <t>FC:1:A11a</t>
  </si>
  <si>
    <t>FC:1:A11b</t>
  </si>
  <si>
    <t>FC:1:A12</t>
  </si>
  <si>
    <t>FC:1:A13</t>
  </si>
  <si>
    <t>FC:1:A14aa1</t>
  </si>
  <si>
    <t>FC:1:A14aa2</t>
  </si>
  <si>
    <t>FC:1:A14bb1</t>
  </si>
  <si>
    <t>FC:1:A14bb2</t>
  </si>
  <si>
    <t>FC:1:A15a</t>
  </si>
  <si>
    <t>FC:1:A15b</t>
  </si>
  <si>
    <t>FC:1:A15c</t>
  </si>
  <si>
    <t>FC:1:A15d</t>
  </si>
  <si>
    <t>FC:1:A16a</t>
  </si>
  <si>
    <t>FC:1:A16b</t>
  </si>
  <si>
    <t>FC:1:A17</t>
  </si>
  <si>
    <t>FC:1:A18a</t>
  </si>
  <si>
    <t>FC:1:A18b</t>
  </si>
  <si>
    <t>FC:1:A19</t>
  </si>
  <si>
    <t>FC:1:A20</t>
  </si>
  <si>
    <t xml:space="preserve">RATIOS DE ANÁLISIS DE ACTIVIDAD </t>
  </si>
  <si>
    <t>RATIOS DE ANÁLISIS DE RENTABILIDAD</t>
  </si>
  <si>
    <t>RATIOS DE ANÁLISIS DE EQUILIBRIO</t>
  </si>
  <si>
    <t>RATIOS DE ANÁLISIS DE SOLVENCIA</t>
  </si>
  <si>
    <t>RATIOS DE ANÁLISIS DE LIQUIDEZ</t>
  </si>
  <si>
    <t>Variación Importe</t>
  </si>
  <si>
    <t>Ejercicio:</t>
  </si>
  <si>
    <t>V. Inversiones financieras  a corto plazo</t>
  </si>
  <si>
    <t>Salida de la Zona Memoria  -&gt; GRM_RIESGO REV ANALITICA Periodo : 0</t>
  </si>
  <si>
    <t>Introducir los datos de balance correspondientes a los ejercicios N, N-1 y N-2.</t>
  </si>
  <si>
    <t>Para el ejercicio N hemos incorporados los balances auditados y depositados en el Registro Mercantil correspondientes al citado ejercicio.</t>
  </si>
  <si>
    <t>Cuadre</t>
  </si>
  <si>
    <t>Introducir los datos de pérdidas y ganancias correspondientes a los ejercicios N, N-1 y N-2.</t>
  </si>
  <si>
    <t>Para el ejercicio N hemos incorporados las cuentas auditadas y depositadas en el Registro Mercantil correspondientes al citado ejercicio.</t>
  </si>
  <si>
    <r>
      <t xml:space="preserve">Asunto: </t>
    </r>
    <r>
      <rPr>
        <sz val="11"/>
        <rFont val="Times New Roman"/>
        <family val="1"/>
      </rPr>
      <t>REVISIÓN ANALÍTICA EN PLANIFICACION</t>
    </r>
  </si>
  <si>
    <r>
      <t xml:space="preserve">Asunto: </t>
    </r>
    <r>
      <rPr>
        <sz val="11"/>
        <rFont val="Times New Roman"/>
        <family val="1"/>
      </rPr>
      <t>REVISION ANALITICA EN PLANIFICACION</t>
    </r>
  </si>
  <si>
    <r>
      <t xml:space="preserve">Asunto: </t>
    </r>
    <r>
      <rPr>
        <b/>
        <sz val="11"/>
        <rFont val="Times New Roman"/>
        <family val="1"/>
      </rPr>
      <t>REVISION ANALITICA  EN PLANIFICACION</t>
    </r>
  </si>
  <si>
    <t>Y</t>
  </si>
  <si>
    <t>AG15.1.1</t>
  </si>
  <si>
    <t>AG15.1.2</t>
  </si>
  <si>
    <t>AG15.1.3</t>
  </si>
  <si>
    <t>VERIFICACIONES EFECTUADAS</t>
  </si>
  <si>
    <t>Se ha analizado la evolucion del balance de situación y la evolución dela cuenta de pérdidas y ganancias. Se han analizado los datos relevantes y los ratios calculados de los últimos 2 ejercicios, para detectar posible indicios de inestabilidad y variaciones significativas de la magnitudes contables.</t>
  </si>
  <si>
    <t>RESULTADOS OBTENIDOS</t>
  </si>
  <si>
    <t>Las  variaciones más significativas habidas en las cifras obtenidas que se han detectado son las siguientes:</t>
  </si>
  <si>
    <t>AREA AA1 – INMOVILIZADO INTANGIBLE</t>
  </si>
  <si>
    <t>NO APLICABLE</t>
  </si>
  <si>
    <t>SALDO N-1</t>
  </si>
  <si>
    <t>SALDO N</t>
  </si>
  <si>
    <t>VARIACION</t>
  </si>
  <si>
    <t>MATERIAL.</t>
  </si>
  <si>
    <t>AREA AA2 – INMOVILIZADO MATERIAL.</t>
  </si>
  <si>
    <t>AREA AA3 – INVERSIONES INMOBILIARIAS</t>
  </si>
  <si>
    <t>AREA AA4 – INVERSIONES EN EMPRESAS GRUPO Y ASOCIADAS L.P.</t>
  </si>
  <si>
    <t>AREA AA5 – INVERSIONES FINANCIERAS L.P.</t>
  </si>
  <si>
    <t>AREA AA6 – ACTIVOS POR IMPUESTO DIFERIDO</t>
  </si>
  <si>
    <t>AREA AA7 – DEUDORES COMERCIALES NO CORRIENTES</t>
  </si>
  <si>
    <t>AREA AB1 - ACTIVOS NO CORRIENTES MANTENIDOS PARA LA VENTA</t>
  </si>
  <si>
    <t>AREA AB2 - EXISTENCIAS</t>
  </si>
  <si>
    <t>AREA AB3 – DEUDORES COMERCIALES Y OTRAS CUENTAS A COBRAR</t>
  </si>
  <si>
    <t>AREA AB4 – INVERSIONES EN EMPRESAS GRUPO Y ASOCIADAS C.P.</t>
  </si>
  <si>
    <t>AREA AB5 – INVERSIONES FINANCIERAS A C.P.</t>
  </si>
  <si>
    <t>AREA AB6 - PERIODIFICACIONES A C.P.</t>
  </si>
  <si>
    <t>AREA AB7 - EFECTIVO Y OTROS ACTIVOS LIQUIDOS EQUIVALENTES</t>
  </si>
  <si>
    <t>AREA PA1 – FONDOS PROPIOS.</t>
  </si>
  <si>
    <t>AREA PA2 – AJUSTES POR CAMBIO DE VALOR</t>
  </si>
  <si>
    <t>AREA PA3 - SUBVENCIONES, DONACIONES Y LEGADOS RECIBIDOS</t>
  </si>
  <si>
    <t>AREA PB1 - PROVISIONES A L.P.</t>
  </si>
  <si>
    <t>AREA PB2 - DEUDAS A L.P.</t>
  </si>
  <si>
    <t>AREA PB3 - DEUDAS CON EMPRESAS DEL GRUPO Y ASOCIADAS A L.P.</t>
  </si>
  <si>
    <t>AREA PB4 - PASIVOS POR IMPUESTO DIFERIDO</t>
  </si>
  <si>
    <t>AREA PB5 - PERIODIFICACIONES A L.P.</t>
  </si>
  <si>
    <t>AREA PB6 - ACREEDORES COMERCIALES NO CORRIENTES</t>
  </si>
  <si>
    <t>AREA PB7 - DEUDAS CON CARACTERISTICAS ESPECIALES A L.P.</t>
  </si>
  <si>
    <t>AREA PC1 – PASIVOS VINCULADOS CON ACTIVOS NO CTES MANTENIDOS PARA VENTA</t>
  </si>
  <si>
    <t>AREA PC2 - PROVISIONES A C.P.</t>
  </si>
  <si>
    <t>AREA PC3 - DEUDAS A C.P.</t>
  </si>
  <si>
    <t>AREA PC4 – DEUDAS CON EMPRESAS DEL GRUPO Y ASOCIADAS A C.P.</t>
  </si>
  <si>
    <t>AREA PC5 - ACREEDORES COMERCIALES Y OTRAS CUENTAS A COBRAR</t>
  </si>
  <si>
    <t>AREA PC6 - PERIODIFICACIONES A C.P.</t>
  </si>
  <si>
    <t>AREA PC7 - DEUDAS CON CARACTERISTICAS ESPECIALES A C.P.</t>
  </si>
  <si>
    <t>INGRESOS.</t>
  </si>
  <si>
    <t>AREA IA1 - IMPORTE NETO DE LA CIFRA DE NEGOCIOS</t>
  </si>
  <si>
    <t>AREA IA2 - VARIACION DE EXISTENCIAS DE PPTTY EN CURSO DE FABRIC.</t>
  </si>
  <si>
    <t>AREA IA3 - TRABAJOS REALIZADOS POR LA EMPRESA PARA SU INMOVILIZADO</t>
  </si>
  <si>
    <t>AREA IA5 - OTROS INGRESOS DE EXPLOTACION</t>
  </si>
  <si>
    <t>AREA IA9 - IMPUTACION DE SUBVENCIONES DE INMOVILIZADO NO FINANCIERO</t>
  </si>
  <si>
    <t>AREA IA10 - EXCESOS DE PROVISIONES</t>
  </si>
  <si>
    <t>AREA IA12 - DIFERENCIA NEGATIVA EN COMBINACIONES DE NEGOCIO</t>
  </si>
  <si>
    <t>AREA IA13 - OTROS RESULTADOS</t>
  </si>
  <si>
    <t>AREA IA14 - INGRESOS FINANCIEROS</t>
  </si>
  <si>
    <t>GASTOS</t>
  </si>
  <si>
    <t>AREA GA4 - APROVISIONAMIENTOS</t>
  </si>
  <si>
    <t>AREA GA6 - GASTOS DE PERSONAL</t>
  </si>
  <si>
    <t>AREA GA7 - OTROS GASTOS DE EXPLOTACION</t>
  </si>
  <si>
    <t>AREA GA8 - DOTACIONES AMORTIZACIONES INMOVILIZADO</t>
  </si>
  <si>
    <t>AREA GA11 - DETERIORO Y RESULTADOS POR ENAJENACION DE INMOVILIZADO</t>
  </si>
  <si>
    <t>AREA GA15 - GASTOS FINANCIEROS</t>
  </si>
  <si>
    <t>AREA GA16 - VAR. VALOR RAZONABLE - DIF. CAMBIO - DET. Y RDO. ENAJ.</t>
  </si>
  <si>
    <t>AREA GA17 - IMPUESTO SOBRE SOCIEDADES</t>
  </si>
  <si>
    <t xml:space="preserve">RATIOS DE ANALISIS DE ACTIVIDAD </t>
  </si>
  <si>
    <t>Indica la evolucion de la cifra de ventas. La evolucion debe ser positiva.</t>
  </si>
  <si>
    <t>EVOLUCION NEGATIVA DEL RATIO</t>
  </si>
  <si>
    <t>RATIOS DE ANALISIS DE RENTABILIDAD</t>
  </si>
  <si>
    <t>Rentabilidad media obtenida por la empresamediante su actividad, a partir de sus fondos propios.</t>
  </si>
  <si>
    <t>RATIOS DE ANALISIS DE EQUILIBRIO</t>
  </si>
  <si>
    <t>Parte del activo pcirculante financiada con capital permanente. Debe tener valores positivos.</t>
  </si>
  <si>
    <t>Tesorería</t>
  </si>
  <si>
    <t>Parte más liquida del activo circulante. Se define como la diferencia entre fondo de maniobra y necesidad de fondo de rotación.</t>
  </si>
  <si>
    <t>Relaciona el pasivo y activo fijo. Si es mayor que uno indica un fondo de maniobra positivo, y si es menor que uno, fondo de maniobra negativo.</t>
  </si>
  <si>
    <t>Tesorería (días)</t>
  </si>
  <si>
    <t>Número de días que tarda en recuperarse la tesorería de la empresa.</t>
  </si>
  <si>
    <t>RATIOS DE ANALISIS DE SOLVENCIA</t>
  </si>
  <si>
    <t>Capacidad de devolución</t>
  </si>
  <si>
    <t>Cuanto más alto peor capacidad de devolución, mayores recursos financieros ajenos y menores recursos generados.</t>
  </si>
  <si>
    <t>RATIOS DE ANALISIS DE LIQUIDEZ</t>
  </si>
  <si>
    <t>CONCLUSIONES DE LA REVISION ANALITICA</t>
  </si>
  <si>
    <t xml:space="preserve">Las variaciones detectadas se tendrán en cuenta a la hora de elaborar el Plan Global de auditoria y en concreto a la hora de especificar las pruebas sustantivas a realizar para obtener evidencia suficiente acerca de la razonabilidad de las cifras expuestas. </t>
  </si>
  <si>
    <t>En los Programas de Trabajo se hace mención de las variaciones significativas detectadas en la revisión analítica</t>
  </si>
  <si>
    <t>NOTAS DE REVISION DEL SOCIO RESPONSABLE</t>
  </si>
  <si>
    <t>APLICAR PROCEDIMIENTOS DE CONTROL PARA ESTA AREA; EL SALDO SUPERA EL NIVEL DE PRECISION</t>
  </si>
  <si>
    <t>AREA POCO RELEVANTE. NO APLICAR PROCEDIMIENTOS DE AUDITORIA</t>
  </si>
  <si>
    <t>VARIACION SIGNIFICATIVA DETECTADA. PRESTAR ATENCION ESPECIAL EN EL PROGRAMA DE TRABAJO (AMPLIAR PRUEBAS)</t>
  </si>
  <si>
    <t>EVOLUCION POSITIVA DEL RATIO</t>
  </si>
  <si>
    <r>
      <t>Obtenida la cifra de Importancia Relativa en la fase de Planificación (</t>
    </r>
    <r>
      <rPr>
        <b/>
        <i/>
        <sz val="10"/>
        <color indexed="10"/>
        <rFont val="Arial"/>
        <family val="2"/>
      </rPr>
      <t>AG.18.1</t>
    </r>
    <r>
      <rPr>
        <sz val="10"/>
        <rFont val="Arial"/>
        <family val="2"/>
      </rPr>
      <t>), la hemos comparado con las variaciones habidas en las cifras del ejercicio con respecto al ejercicio anterior, para analizar variaciones anormales. El objetivo principal es determinar el alcance del trabajo a realizar por el auditor.</t>
    </r>
  </si>
  <si>
    <r>
      <t>Obtenida la cifra de Importancia Relativa en la fase de Ejecución del Trabajo (</t>
    </r>
    <r>
      <rPr>
        <b/>
        <i/>
        <sz val="10"/>
        <color indexed="10"/>
        <rFont val="Arial"/>
        <family val="2"/>
      </rPr>
      <t>AG.18.2</t>
    </r>
    <r>
      <rPr>
        <sz val="10"/>
        <rFont val="Arial"/>
        <family val="2"/>
      </rPr>
      <t>), para cada área, la hemos comparado con las variaciones habidas en las cifras del ejercicio con respecto al ejericio anterior, para analizar variaciones anormales. El objetivo principal es determinar el alcance del trabajo a realizar por el auditor.</t>
    </r>
  </si>
  <si>
    <t>RESPONSABLE</t>
  </si>
  <si>
    <t>FECHA</t>
  </si>
  <si>
    <t>SOCIO</t>
  </si>
  <si>
    <t xml:space="preserve">CELDAS DE "SALDO N" Y "SALDO N-1" PARA CADA AREA
</t>
  </si>
  <si>
    <t xml:space="preserve"> - CELDAS DE RATIOS</t>
  </si>
  <si>
    <t xml:space="preserve"> - CELDAS DE "MATERIAL." PARA CADA AREA</t>
  </si>
  <si>
    <t>RIESGO DE FRAUDE</t>
  </si>
  <si>
    <t>RIESGO DE FRAUDE. ANALIZAR EL AREA CON ESPECIAL ATENCION(PROGRAMA DE TRABAJO)</t>
  </si>
  <si>
    <r>
      <t xml:space="preserve">Asunto: </t>
    </r>
    <r>
      <rPr>
        <sz val="11"/>
        <rFont val="Times New Roman"/>
        <family val="1"/>
      </rPr>
      <t>REVISION ANALITICA PLANIFICACION</t>
    </r>
  </si>
  <si>
    <r>
      <t>Obtenida la cifra de Importancia Relativa en la fase de Planificación (</t>
    </r>
    <r>
      <rPr>
        <b/>
        <i/>
        <sz val="12"/>
        <color indexed="10"/>
        <rFont val="Times New Roman"/>
        <family val="1"/>
      </rPr>
      <t>AG.18.1</t>
    </r>
    <r>
      <rPr>
        <sz val="12"/>
        <rFont val="Times New Roman"/>
        <family val="1"/>
      </rPr>
      <t>), la hemos comparado con las variaciones habidas en las cifras del ejercicio con respecto al ejericio anterior, para analizar variaciones anormales. El objetivo principal es determinar el alcance del trabajo a realizar por el auditor.</t>
    </r>
  </si>
  <si>
    <t>ZM:100002:0</t>
  </si>
  <si>
    <t>Salida de la Zona Memoria -&gt; GR_Nombre del cliente Période : 0</t>
  </si>
  <si>
    <t>ZM:100003:0</t>
  </si>
  <si>
    <t>Salida de la Zona Memoria -&gt; GR_Ejercicio cerrado a  Période : 0</t>
  </si>
  <si>
    <t>ZM:100005:0</t>
  </si>
  <si>
    <t>Salida de la Zona Memoria -&gt; GR_Socio Director Période : 0</t>
  </si>
  <si>
    <t>ZM:100004:0</t>
  </si>
  <si>
    <t>Salida de la Zona Memoria -&gt; GR_Socio Firmante Période : 0</t>
  </si>
  <si>
    <t>ZMS:100123:0</t>
  </si>
  <si>
    <t>Salida de la Zona Memoria  -&gt; SI;NO; AA1_P Periodo : 0</t>
  </si>
  <si>
    <t>ZMS:100124:0</t>
  </si>
  <si>
    <t>Salida de la Zona Memoria  -&gt; SI;NO; AA2_P Periodo : 0</t>
  </si>
  <si>
    <t>ZMS:100125:0</t>
  </si>
  <si>
    <t>Salida de la Zona Memoria  -&gt; SI;NO; AA3_P Periodo : 0</t>
  </si>
  <si>
    <t>ZMS:100126:0</t>
  </si>
  <si>
    <t>Salida de la Zona Memoria  -&gt; SI;NO; AA4_P Periodo : 0</t>
  </si>
  <si>
    <t>ZMS:100127:0</t>
  </si>
  <si>
    <t>Salida de la Zona Memoria  -&gt; SI;NO; AA5_P Periodo : 0</t>
  </si>
  <si>
    <t>ZMS:100128:0</t>
  </si>
  <si>
    <t>Salida de la Zona Memoria  -&gt; SI;NO; AA6_P Periodo : 0</t>
  </si>
  <si>
    <t>ZMS:100129:0</t>
  </si>
  <si>
    <t>Salida de la Zona Memoria  -&gt; SI;NO; AA7_P Periodo : 0</t>
  </si>
  <si>
    <t>ZMS:100130:0</t>
  </si>
  <si>
    <t>Salida de la Zona Memoria  -&gt; SI;NO; AB1_P Periodo : 0</t>
  </si>
  <si>
    <t>ZMS:100131:0</t>
  </si>
  <si>
    <t>Salida de la Zona Memoria  -&gt; SI;NO; AB2_P Periodo : 0</t>
  </si>
  <si>
    <t>ZMS:100132:0</t>
  </si>
  <si>
    <t>Salida de la Zona Memoria  -&gt; SI;NO; AB3_P Periodo : 0</t>
  </si>
  <si>
    <t>ZMS:100133:0</t>
  </si>
  <si>
    <t>Salida de la Zona Memoria  -&gt; SI;NO; AB4_P Periodo : 0</t>
  </si>
  <si>
    <t>ZMS:100134:0</t>
  </si>
  <si>
    <t>Salida de la Zona Memoria  -&gt; SI;NO; AB5_P Periodo : 0</t>
  </si>
  <si>
    <t>ZMS:100135:0</t>
  </si>
  <si>
    <t>Salida de la Zona Memoria  -&gt; SI;NO; AB6_P Periodo : 0</t>
  </si>
  <si>
    <t>ZMS:100136:0</t>
  </si>
  <si>
    <t>Salida de la Zona Memoria  -&gt; SI;NO; AB7_P Periodo : 0</t>
  </si>
  <si>
    <t>ZMS:100137:0</t>
  </si>
  <si>
    <t>Salida de la Zona Memoria  -&gt; SI;NO; PA1_P Periodo : 0</t>
  </si>
  <si>
    <t>ZMS:100138:0</t>
  </si>
  <si>
    <t>Salida de la Zona Memoria  -&gt; SI;NO; PA2_P Periodo : 0</t>
  </si>
  <si>
    <t>ZMS:100139:0</t>
  </si>
  <si>
    <t>Salida de la Zona Memoria  -&gt; SI;NO; PA3_P Periodo : 0</t>
  </si>
  <si>
    <t>ZMS:100140:0</t>
  </si>
  <si>
    <t>Salida de la Zona Memoria  -&gt; SI;NO; PB1_P Periodo : 0</t>
  </si>
  <si>
    <t>ZMS:100141:0</t>
  </si>
  <si>
    <t>Salida de la Zona Memoria  -&gt; SI;NO; PB2_P Periodo : 0</t>
  </si>
  <si>
    <t>ZMS:100142:0</t>
  </si>
  <si>
    <t>Salida de la Zona Memoria  -&gt; SI;NO; PB3_P Periodo : 0</t>
  </si>
  <si>
    <t>ZMS:100143:0</t>
  </si>
  <si>
    <t>Salida de la Zona Memoria  -&gt; SI;NO; PB4_P Periodo : 0</t>
  </si>
  <si>
    <t>ZMS:100144:0</t>
  </si>
  <si>
    <t>Salida de la Zona Memoria  -&gt; SI;NO; PB5_P Periodo : 0</t>
  </si>
  <si>
    <t>ZMS:100145:0</t>
  </si>
  <si>
    <t>Salida de la Zona Memoria  -&gt; SI;NO; PB6_P Periodo : 0</t>
  </si>
  <si>
    <t>ZMS:100146:0</t>
  </si>
  <si>
    <t>Salida de la Zona Memoria  -&gt; SI;NO; PB7_P Periodo : 0</t>
  </si>
  <si>
    <t>ZMS:100147:0</t>
  </si>
  <si>
    <t>Salida de la Zona Memoria  -&gt; SI;NO; PC1_P Periodo : 0</t>
  </si>
  <si>
    <t>ZMS:100148:0</t>
  </si>
  <si>
    <t>Salida de la Zona Memoria  -&gt; SI;NO; PC2_P Periodo : 0</t>
  </si>
  <si>
    <t>ZMS:100149:0</t>
  </si>
  <si>
    <t>Salida de la Zona Memoria  -&gt; SI;NO; PC3_P Periodo : 0</t>
  </si>
  <si>
    <t>ZMS:100150:0</t>
  </si>
  <si>
    <t>Salida de la Zona Memoria  -&gt; SI;NO; PC4_P Periodo : 0</t>
  </si>
  <si>
    <t>ZMS:100151:0</t>
  </si>
  <si>
    <t>Salida de la Zona Memoria  -&gt; SI;NO; PC5_P Periodo : 0</t>
  </si>
  <si>
    <t>ZMS:100152:0</t>
  </si>
  <si>
    <t>Salida de la Zona Memoria  -&gt; SI;NO; PC6_P Periodo : 0</t>
  </si>
  <si>
    <t>ZMS:100153:0</t>
  </si>
  <si>
    <t>Salida de la Zona Memoria  -&gt; SI;NO; PC7_P Periodo : 0</t>
  </si>
  <si>
    <t>ZMS:100154:0</t>
  </si>
  <si>
    <t>Salida de la Zona Memoria  -&gt; SI;NO; IA1_P Periodo : 0</t>
  </si>
  <si>
    <t>ZMS:100155:0</t>
  </si>
  <si>
    <t>Salida de la Zona Memoria  -&gt; SI;NO; IA2_P Periodo : 0</t>
  </si>
  <si>
    <t>ZMS:100156:0</t>
  </si>
  <si>
    <t>Salida de la Zona Memoria  -&gt; SI;NO; IA3_P Periodo : 0</t>
  </si>
  <si>
    <t>ZMS:100157:0</t>
  </si>
  <si>
    <t>Salida de la Zona Memoria  -&gt; SI;NO; IA5_P Periodo : 0</t>
  </si>
  <si>
    <t>ZMS:100158:0</t>
  </si>
  <si>
    <t>Salida de la Zona Memoria  -&gt; SI;NO; IA9_P Periodo : 0</t>
  </si>
  <si>
    <t>ZMS:100159:0</t>
  </si>
  <si>
    <t>Salida de la Zona Memoria  -&gt; SI;NO; IA10_P Periodo : 0</t>
  </si>
  <si>
    <t>ZMS:100170:0</t>
  </si>
  <si>
    <t>Salida de la Zona Memoria  -&gt; SI;NO; IA12_P Periodo : 0</t>
  </si>
  <si>
    <t>ZMS:100160:0</t>
  </si>
  <si>
    <t>Salida de la Zona Memoria  -&gt; SI;NO; IA13_P Periodo : 0</t>
  </si>
  <si>
    <t>ZMS:100161:0</t>
  </si>
  <si>
    <t>Salida de la Zona Memoria  -&gt; SI;NO; IA14_P Periodo : 0</t>
  </si>
  <si>
    <t>ZMS:100162:0</t>
  </si>
  <si>
    <t>Salida de la Zona Memoria  -&gt; SI;NO; GA4_P Periodo : 0</t>
  </si>
  <si>
    <t>ZMS:100163:0</t>
  </si>
  <si>
    <t>Salida de la Zona Memoria  -&gt; SI;NO; GA6_P Periodo : 0</t>
  </si>
  <si>
    <t>ZMS:100164:0</t>
  </si>
  <si>
    <t>Salida de la Zona Memoria  -&gt; SI;NO; GA7_P Periodo : 0</t>
  </si>
  <si>
    <t>ZMS:100165:0</t>
  </si>
  <si>
    <t>Salida de la Zona Memoria  -&gt; SI;NO; GA8_P Periodo : 0</t>
  </si>
  <si>
    <t>ZMS:100166:0</t>
  </si>
  <si>
    <t>Salida de la Zona Memoria  -&gt; SI;NO; GA11_P Periodo : 0</t>
  </si>
  <si>
    <t>ZMS:100167:0</t>
  </si>
  <si>
    <t>Salida de la Zona Memoria  -&gt; SI;NO; GA15_P Periodo : 0</t>
  </si>
  <si>
    <t>ZMS:100168:0</t>
  </si>
  <si>
    <t>Salida de la Zona Memoria  -&gt; SI;NO; GA16_P Periodo : 0</t>
  </si>
  <si>
    <t>ZMS:100169:0</t>
  </si>
  <si>
    <t>Salida de la Zona Memoria  -&gt; SI;NO; GA17_P Periodo : 0</t>
  </si>
  <si>
    <t>MEMORANDUM REVISIÓN ANALÍTICA FASE DE PLANIFICACIÓN</t>
  </si>
  <si>
    <t>ZM:100342:0</t>
  </si>
  <si>
    <t>Salida de la Zona Memoria -&gt; GR_Forma Jurídica Période : 0</t>
  </si>
  <si>
    <t>ZM:100009:0</t>
  </si>
  <si>
    <t>Salida de la Zona Memoria -&gt; GR_Responsable AG Période : 0</t>
  </si>
  <si>
    <r>
      <t xml:space="preserve"> - BALANCE DE SITUACIÓN </t>
    </r>
    <r>
      <rPr>
        <b/>
        <i/>
        <sz val="9"/>
        <color indexed="10"/>
        <rFont val="Arial"/>
        <family val="2"/>
      </rPr>
      <t>AG15.1.1</t>
    </r>
  </si>
  <si>
    <r>
      <t xml:space="preserve"> - ANALISIS DE MATERIALIDAD - NIVEL DE PRECISION: </t>
    </r>
    <r>
      <rPr>
        <b/>
        <i/>
        <sz val="9"/>
        <color indexed="10"/>
        <rFont val="Arial"/>
        <family val="2"/>
      </rPr>
      <t>AG18.1</t>
    </r>
  </si>
  <si>
    <r>
      <t xml:space="preserve">La conclusion se detalla en </t>
    </r>
    <r>
      <rPr>
        <b/>
        <i/>
        <sz val="10"/>
        <color indexed="10"/>
        <rFont val="Arial"/>
        <family val="2"/>
      </rPr>
      <t>AG15.2.</t>
    </r>
  </si>
  <si>
    <r>
      <t xml:space="preserve">Hemos configurado el balance a partir del diario facilitado por la empresa reseñado en </t>
    </r>
    <r>
      <rPr>
        <b/>
        <i/>
        <sz val="9"/>
        <color indexed="10"/>
        <rFont val="Arial"/>
        <family val="2"/>
      </rPr>
      <t>AG5</t>
    </r>
  </si>
  <si>
    <r>
      <t xml:space="preserve">La conclusion se detalla en </t>
    </r>
    <r>
      <rPr>
        <b/>
        <i/>
        <sz val="10"/>
        <color indexed="10"/>
        <rFont val="Arial"/>
        <family val="2"/>
      </rPr>
      <t>AG15.1</t>
    </r>
  </si>
  <si>
    <t xml:space="preserve">Nº de empleados             </t>
  </si>
  <si>
    <r>
      <t xml:space="preserve">Los datos relevantes se han traido del balance </t>
    </r>
    <r>
      <rPr>
        <b/>
        <i/>
        <sz val="9"/>
        <color indexed="10"/>
        <rFont val="Arial"/>
        <family val="2"/>
      </rPr>
      <t>AG15.1.1</t>
    </r>
    <r>
      <rPr>
        <b/>
        <i/>
        <sz val="9"/>
        <color indexed="10"/>
        <rFont val="Arial"/>
        <family val="2"/>
      </rPr>
      <t xml:space="preserve"> </t>
    </r>
    <r>
      <rPr>
        <sz val="9"/>
        <rFont val="Arial"/>
        <family val="2"/>
      </rPr>
      <t>y de la cuenta de resultados</t>
    </r>
    <r>
      <rPr>
        <b/>
        <i/>
        <sz val="9"/>
        <color indexed="10"/>
        <rFont val="Arial"/>
        <family val="2"/>
      </rPr>
      <t xml:space="preserve"> AG15.1.2</t>
    </r>
    <r>
      <rPr>
        <sz val="9"/>
        <rFont val="Arial"/>
        <family val="2"/>
      </rPr>
      <t xml:space="preserve"> confeccionados a partir del diario facilitado por la empresa </t>
    </r>
    <r>
      <rPr>
        <b/>
        <i/>
        <sz val="9"/>
        <color indexed="10"/>
        <rFont val="Arial"/>
        <family val="2"/>
      </rPr>
      <t>AG5</t>
    </r>
    <r>
      <rPr>
        <sz val="9"/>
        <rFont val="Arial"/>
        <family val="2"/>
      </rPr>
      <t>.</t>
    </r>
  </si>
  <si>
    <r>
      <t xml:space="preserve">Los ratios se han calculado aplicando las formulas de general aceptación a partir de los datos resultantes de </t>
    </r>
    <r>
      <rPr>
        <b/>
        <i/>
        <sz val="9"/>
        <color indexed="10"/>
        <rFont val="Arial"/>
        <family val="2"/>
      </rPr>
      <t xml:space="preserve">AG15.1.1 </t>
    </r>
    <r>
      <rPr>
        <sz val="9"/>
        <rFont val="Arial"/>
        <family val="2"/>
      </rPr>
      <t xml:space="preserve">y </t>
    </r>
    <r>
      <rPr>
        <b/>
        <i/>
        <sz val="9"/>
        <color indexed="10"/>
        <rFont val="Arial"/>
        <family val="2"/>
      </rPr>
      <t>AG15.1.2</t>
    </r>
  </si>
  <si>
    <t>ZM:100069:0</t>
  </si>
  <si>
    <t>Salida de la Zona Memoria -&gt; GMT_Nº PERSONAL N Période : 0</t>
  </si>
  <si>
    <t>ZM:100070:0</t>
  </si>
  <si>
    <t>Salida de la Zona Memoria -&gt; GMT_Nº PERSONAL N-1 Période : 0</t>
  </si>
  <si>
    <t>ZM:100353:0</t>
  </si>
  <si>
    <t>Salida de la Zona Memoria -&gt; GR_Nº empleados n-2 Période : 0</t>
  </si>
  <si>
    <t>ZM:100018:0</t>
  </si>
  <si>
    <t>Salida de la Zona Memoria -&gt; GMT_FECHA PLANIFICACIÓN Période : 0</t>
  </si>
  <si>
    <r>
      <t>Las conclusiones obtenidas se muestran en</t>
    </r>
    <r>
      <rPr>
        <b/>
        <i/>
        <sz val="10"/>
        <color indexed="10"/>
        <rFont val="Arial"/>
        <family val="2"/>
      </rPr>
      <t xml:space="preserve"> AG15.1.</t>
    </r>
  </si>
  <si>
    <t>AG.15.1</t>
  </si>
  <si>
    <r>
      <t xml:space="preserve"> - CUENTA DE RESULTADOS </t>
    </r>
    <r>
      <rPr>
        <b/>
        <i/>
        <sz val="9"/>
        <color indexed="10"/>
        <rFont val="Arial"/>
        <family val="2"/>
      </rPr>
      <t>AG15.1.2</t>
    </r>
  </si>
  <si>
    <r>
      <t xml:space="preserve"> - ANALISIS DE RATIOS </t>
    </r>
    <r>
      <rPr>
        <b/>
        <i/>
        <sz val="9"/>
        <color indexed="10"/>
        <rFont val="Arial"/>
        <family val="2"/>
      </rPr>
      <t>AG15.1.3</t>
    </r>
  </si>
  <si>
    <r>
      <t xml:space="preserve">Hemos configurado la cuenta de resultados a partir del diario facilitado por la empresa reseñado en </t>
    </r>
    <r>
      <rPr>
        <b/>
        <i/>
        <sz val="9"/>
        <color indexed="10"/>
        <rFont val="Arial"/>
        <family val="2"/>
      </rPr>
      <t>AG5</t>
    </r>
  </si>
  <si>
    <t>Verificar la evolución razonable de las cifras relevantes de balance y cuenta de pérdidas y ganancias así como el analisis de los ratios funadamentales para detectar variaciones anormales.</t>
  </si>
  <si>
    <t>ZMS:100281:0</t>
  </si>
  <si>
    <t>Salida de la Zona Memoria  -&gt; GMT_ÁREA AA1 Periodo : 0</t>
  </si>
  <si>
    <t>Salida de la Zona Memoria  -&gt; GMT_ÁREA AA2 Periodo : 0</t>
  </si>
  <si>
    <t>Salida de la Zona Memoria  -&gt; GMT_ÁREA AA3 Periodo : 0</t>
  </si>
  <si>
    <t>Salida de la Zona Memoria  -&gt; GMT_ÁREA AA4 Periodo : 0</t>
  </si>
  <si>
    <t>Salida de la Zona Memoria  -&gt; GMT_ÁREA AA5 Periodo : 0</t>
  </si>
  <si>
    <t>Salida de la Zona Memoria  -&gt; GMT_ÁREA AA6 Periodo : 0</t>
  </si>
  <si>
    <t>Salida de la Zona Memoria  -&gt; GMT_ÁREA AA7 Periodo : 0</t>
  </si>
  <si>
    <t>Salida de la Zona Memoria  -&gt; GMT_ÁREA AB1 Periodo : 0</t>
  </si>
  <si>
    <t>Salida de la Zona Memoria  -&gt; GMT_ÁREA AB2 Periodo : 0</t>
  </si>
  <si>
    <t>Salida de la Zona Memoria  -&gt; GMT_ÁREA AB3 Periodo : 0</t>
  </si>
  <si>
    <t>Salida de la Zona Memoria  -&gt; GMT_ÁREA AB4 Periodo : 0</t>
  </si>
  <si>
    <t>Salida de la Zona Memoria  -&gt; GMT_ÁREA AB5 Periodo : 0</t>
  </si>
  <si>
    <t>Salida de la Zona Memoria  -&gt; GMT_ÁREA AB6 Periodo : 0</t>
  </si>
  <si>
    <t>Salida de la Zona Memoria  -&gt; GMT_ÁREA AB7 Periodo : 0</t>
  </si>
  <si>
    <t>Salida de la Zona Memoria  -&gt; GMT_ÁREA PA1 Periodo : 0</t>
  </si>
  <si>
    <t>Salida de la Zona Memoria  -&gt; GMT_ÁREA PA2 Periodo : 0</t>
  </si>
  <si>
    <t>Salida de la Zona Memoria  -&gt; GMT_ÁREA PA3 Periodo : 0</t>
  </si>
  <si>
    <t>Salida de la Zona Memoria  -&gt; GMT_ÁREA PB1 Periodo : 0</t>
  </si>
  <si>
    <t>Salida de la Zona Memoria  -&gt; GMT_ÁREA PB2 Periodo : 0</t>
  </si>
  <si>
    <t>Salida de la Zona Memoria  -&gt; GMT_ÁREA PB3 Periodo : 0</t>
  </si>
  <si>
    <t>Salida de la Zona Memoria  -&gt; GMT_ÁREA PB4 Periodo : 0</t>
  </si>
  <si>
    <t>Salida de la Zona Memoria  -&gt; GMT_ÁREA PB5 Periodo : 0</t>
  </si>
  <si>
    <t>Salida de la Zona Memoria  -&gt; GMT_ÁREA PB6 Periodo : 0</t>
  </si>
  <si>
    <t>Salida de la Zona Memoria  -&gt; GMT_ÁREA PB7 Periodo : 0</t>
  </si>
  <si>
    <t>Salida de la Zona Memoria  -&gt; GMT_ÁREA PC1 Periodo : 0</t>
  </si>
  <si>
    <t>Salida de la Zona Memoria  -&gt; GMT_ÁREA PC2 Periodo : 0</t>
  </si>
  <si>
    <t>Salida de la Zona Memoria  -&gt; GMT_ÁREA PC3 Periodo : 0</t>
  </si>
  <si>
    <t>Salida de la Zona Memoria  -&gt; GMT_ÁREA PC4 Periodo : 0</t>
  </si>
  <si>
    <t>Salida de la Zona Memoria  -&gt; GMT_ÁREA PC5 Periodo : 0</t>
  </si>
  <si>
    <t>Salida de la Zona Memoria  -&gt; GMT_ÁREA PC6 Periodo : 0</t>
  </si>
  <si>
    <t>Salida de la Zona Memoria  -&gt; GMT_ÁREA PC7 Periodo : 0</t>
  </si>
  <si>
    <t>Salida de la Zona Memoria  -&gt; GMT_ÁREA IA1 Periodo : 0</t>
  </si>
  <si>
    <t>Salida de la Zona Memoria  -&gt; GMT_ÁREA IA2 Periodo : 0</t>
  </si>
  <si>
    <t>Salida de la Zona Memoria  -&gt; GMT_ÁREA IA3 Periodo : 0</t>
  </si>
  <si>
    <t>Salida de la Zona Memoria  -&gt; GMT_ÁREA IA5 Periodo : 0</t>
  </si>
  <si>
    <t>Salida de la Zona Memoria  -&gt; GMT_ÁREA IA9 Periodo : 0</t>
  </si>
  <si>
    <t>Salida de la Zona Memoria  -&gt; GMT_ÁREA IA10 Periodo : 0</t>
  </si>
  <si>
    <t>Salida de la Zona Memoria  -&gt; GMT_ÁREA IA12 Periodo : 0</t>
  </si>
  <si>
    <t>Salida de la Zona Memoria  -&gt; GMT_ÁREA IA13 Periodo : 0</t>
  </si>
  <si>
    <t>Salida de la Zona Memoria  -&gt; GMT_ÁREA IA14 Periodo : 0</t>
  </si>
  <si>
    <t>Salida de la Zona Memoria  -&gt; GMT_ÁREA GA4 Periodo : 0</t>
  </si>
  <si>
    <t>Salida de la Zona Memoria  -&gt; GMT_ÁREA GA6 Periodo : 0</t>
  </si>
  <si>
    <t>Salida de la Zona Memoria  -&gt; GMT_ÁREA GA7 Periodo : 0</t>
  </si>
  <si>
    <t>Salida de la Zona Memoria  -&gt; GMT_ÁREA GA8 Periodo : 0</t>
  </si>
  <si>
    <t>Salida de la Zona Memoria  -&gt; GMT_ÁREA GA11 Periodo : 0</t>
  </si>
  <si>
    <t>Salida de la Zona Memoria  -&gt; GMT_ÁREA GA15 Periodo : 0</t>
  </si>
  <si>
    <t>Salida de la Zona Memoria  -&gt; GMT_ÁREA GA16 Periodo : 0</t>
  </si>
  <si>
    <t>Salida de la Zona Memoria  -&gt; GMT_ÁREA GA17 Periodo : 0</t>
  </si>
  <si>
    <t>Salida de la Zona Memoria  -&gt; GR_IRI_MATERIALIDAD CONJUNTO Periodo : 0</t>
  </si>
  <si>
    <t>Salida de la Zona Memoria  -&gt; GR_IR_% CORRECTOR Periodo : 0</t>
  </si>
  <si>
    <t>ZM:100712:0</t>
  </si>
  <si>
    <t>ZM:100714:0</t>
  </si>
  <si>
    <t xml:space="preserve">Cuentas que componen el Epígrafe de los Estados Financieros -&gt; CVII Periodo : </t>
  </si>
  <si>
    <t>FC:2:CVII</t>
  </si>
  <si>
    <t>FC:1:CVII</t>
  </si>
  <si>
    <t>FC:4:CVII</t>
  </si>
  <si>
    <t>ZM:100020:0</t>
  </si>
  <si>
    <t>ZM:100021:0</t>
  </si>
  <si>
    <t>ZM:100022:0</t>
  </si>
  <si>
    <t>ZM:100023:0</t>
  </si>
  <si>
    <t>ZM:100024:0</t>
  </si>
  <si>
    <t>ZM:100025:0</t>
  </si>
  <si>
    <t>ZM:100026:0</t>
  </si>
  <si>
    <t>ZM:100027:0</t>
  </si>
  <si>
    <t>ZM:100028:0</t>
  </si>
  <si>
    <t>ZM:100029:0</t>
  </si>
  <si>
    <t>ZM:100031:0</t>
  </si>
  <si>
    <t>ZM:100032:0</t>
  </si>
  <si>
    <t>ZM:100033:0</t>
  </si>
  <si>
    <t>ZM:100034:0</t>
  </si>
  <si>
    <t>ZM:100035:0</t>
  </si>
  <si>
    <t>ZM:100036:0</t>
  </si>
  <si>
    <t>ZM:100037:0</t>
  </si>
  <si>
    <t>ZM:100038:0</t>
  </si>
  <si>
    <t>ZM:100039:0</t>
  </si>
  <si>
    <t>ZM:100040:0</t>
  </si>
  <si>
    <t>ZM:100041:0</t>
  </si>
  <si>
    <t>ZM:100042:0</t>
  </si>
  <si>
    <t>ZM:100043:0</t>
  </si>
  <si>
    <t>ZM:100044:0</t>
  </si>
  <si>
    <t>ZM:100045:0</t>
  </si>
  <si>
    <t>ZM:100046:0</t>
  </si>
  <si>
    <t>ZM:100047:0</t>
  </si>
  <si>
    <t>ZM:100048:0</t>
  </si>
  <si>
    <t>ZM:100049:0</t>
  </si>
  <si>
    <t>ZM:100050:0</t>
  </si>
  <si>
    <t>ZM:100051:0</t>
  </si>
  <si>
    <t>ZM:100052:0</t>
  </si>
  <si>
    <t>ZM:100053:0</t>
  </si>
  <si>
    <t>ZM:100054:0</t>
  </si>
  <si>
    <t>ZM:100055:0</t>
  </si>
  <si>
    <t>ZM:100056:0</t>
  </si>
  <si>
    <t>ZM:100057:0</t>
  </si>
  <si>
    <t>ZM:100058:0</t>
  </si>
  <si>
    <t>ZM:100059:0</t>
  </si>
  <si>
    <t>ZM:100060:0</t>
  </si>
  <si>
    <t>ZM:100061:0</t>
  </si>
  <si>
    <t>ZM:100062:0</t>
  </si>
  <si>
    <t>ZM:100063:0</t>
  </si>
  <si>
    <t>ZM:100064:0</t>
  </si>
  <si>
    <t>ZM:100065:0</t>
  </si>
  <si>
    <t>ZM:100066:0</t>
  </si>
  <si>
    <t>ZM:100067:0</t>
  </si>
  <si>
    <t>ZM:100068:0</t>
  </si>
  <si>
    <t xml:space="preserve">Cuentas que componen el Epígrafe de los Estados Financieros -&gt; AI8 Periodo : </t>
  </si>
  <si>
    <t xml:space="preserve">Cuentas que componen el Epígrafe de los Estados Financieros -&gt; AI9 Periodo : </t>
  </si>
  <si>
    <t>FC:2:AI8</t>
  </si>
  <si>
    <t>FC:2:AI9</t>
  </si>
  <si>
    <t xml:space="preserve">Cuentas que componen el Epígrafe de los Estados Financieros -&gt; A-1III3 Periodo : </t>
  </si>
  <si>
    <t>FC:2:A-1III3</t>
  </si>
  <si>
    <t xml:space="preserve">Cuentas que componen el Epígrafe de los Estados Financieros -&gt; CII1 Periodo : </t>
  </si>
  <si>
    <t xml:space="preserve">Cuentas que componen el Epígrafe de los Estados Financieros -&gt; CII2 Periodo : </t>
  </si>
  <si>
    <t>FC:2:CII1</t>
  </si>
  <si>
    <t>FC:2:CII2</t>
  </si>
  <si>
    <t xml:space="preserve">Cuentas que componen el Epígrafe de los Estados Financieros -&gt; A1c Periodo : </t>
  </si>
  <si>
    <t>FC:2:A1c</t>
  </si>
  <si>
    <t xml:space="preserve">Cuentas que componen el Epígrafe de los Estados Financieros -&gt; A7e Periodo : </t>
  </si>
  <si>
    <t>FC:2:A7e</t>
  </si>
  <si>
    <t xml:space="preserve">Cuentas que componen el Epígrafe de los Estados Financieros -&gt; A11c Periodo : </t>
  </si>
  <si>
    <t>FC:2:A11c</t>
  </si>
  <si>
    <t xml:space="preserve">Cuentas que componen el Epígrafe de los Estados Financieros -&gt; A14c Periodo : </t>
  </si>
  <si>
    <t>FC:2:A14c</t>
  </si>
  <si>
    <t xml:space="preserve">Cuentas que componen el Epígrafe de los Estados Financieros -&gt; A20a Periodo : </t>
  </si>
  <si>
    <t xml:space="preserve">Cuentas que componen el Epígrafe de los Estados Financieros -&gt; A20b Periodo : </t>
  </si>
  <si>
    <t xml:space="preserve">Cuentas que componen el Epígrafe de los Estados Financieros -&gt; A20c Periodo : </t>
  </si>
  <si>
    <t>FC:1:CII2</t>
  </si>
  <si>
    <t>FC:4:CII2</t>
  </si>
  <si>
    <t>FC:1:AI8</t>
  </si>
  <si>
    <t>FC:1:AI9</t>
  </si>
  <si>
    <t>FC:1:A-1III3</t>
  </si>
  <si>
    <t>FC:1:CII1</t>
  </si>
  <si>
    <t>FC:1:A1c</t>
  </si>
  <si>
    <t>FC:1:A7e</t>
  </si>
  <si>
    <t>FC:1:A11c</t>
  </si>
  <si>
    <t>FC:1:A14c</t>
  </si>
  <si>
    <t>FC:4:AI8</t>
  </si>
  <si>
    <t>FC:4:AI9</t>
  </si>
  <si>
    <t>FC:4:A-1III3</t>
  </si>
  <si>
    <t>FC:4:CII1</t>
  </si>
  <si>
    <t>FC:4:A1c</t>
  </si>
  <si>
    <t>FC:4:A7e</t>
  </si>
  <si>
    <t>FC:4:A11c</t>
  </si>
  <si>
    <t>FC:4:A14c</t>
  </si>
  <si>
    <t>7. Propiedad intelectual</t>
  </si>
  <si>
    <t>8. Derechos de emisión de gases de efecto invernadero</t>
  </si>
  <si>
    <t>9. Otro inmovilizado intangible</t>
  </si>
  <si>
    <t>3. Reservas de revalorización</t>
  </si>
  <si>
    <t>1. Provisiones por derechos de emisión de gases de efecto invernadero</t>
  </si>
  <si>
    <t>2. Otras provisiones</t>
  </si>
  <si>
    <t>c) Ingresos de carácter financiero de las sociedades holding</t>
  </si>
  <si>
    <t>c) Deterioro y resultado por enajenaciones de inmovilzado de las sociedades holding</t>
  </si>
  <si>
    <t>c) Imputación de subvenciones, donaciones y legados de carácter financiero</t>
  </si>
  <si>
    <t>FC:2:A20a</t>
  </si>
  <si>
    <t>FC:2:A20b</t>
  </si>
  <si>
    <t>FC:2:A20c</t>
  </si>
  <si>
    <t>a) Incorporación al activo de gastos financieros</t>
  </si>
  <si>
    <t>b) Ingresos financieros derivados de convenios de acreedores</t>
  </si>
  <si>
    <t>c) Resto de ingresos y gastos</t>
  </si>
  <si>
    <t>FC:1:A20a</t>
  </si>
  <si>
    <t>FC:1:A20b</t>
  </si>
  <si>
    <t>FC:1:A20c</t>
  </si>
  <si>
    <t>FC:4:A20a</t>
  </si>
  <si>
    <t>FC:4:A20b</t>
  </si>
  <si>
    <t>FC:4:A20c</t>
  </si>
  <si>
    <t>Fourchette de compte état de synthèse -&gt; CII2 Période : 0</t>
  </si>
  <si>
    <t xml:space="preserve">Epígrafe de cuentas   -&gt;  A-1III4     </t>
  </si>
  <si>
    <t xml:space="preserve">Epígrafe de cuentas   -&gt;  A-1III5     </t>
  </si>
  <si>
    <t>FC:2:A-1III4</t>
  </si>
  <si>
    <t>FC:2:A-1III5</t>
  </si>
  <si>
    <t>FC:1:A-1III4</t>
  </si>
  <si>
    <t>FC:1:A-1III5</t>
  </si>
  <si>
    <t>FC:4:A-1III4</t>
  </si>
  <si>
    <t>FC:4:A-1III5</t>
  </si>
  <si>
    <t>4. Reserva de capitalización</t>
  </si>
  <si>
    <t>5. Reserva de nivelación</t>
  </si>
  <si>
    <t>Onduline Materiales de Construccion, S.A.</t>
  </si>
  <si>
    <t>31/12/2019</t>
  </si>
  <si>
    <t xml:space="preserve">NRM_x000D_
</t>
  </si>
  <si>
    <t>JCG</t>
  </si>
  <si>
    <t>JCC</t>
  </si>
  <si>
    <t>. S.A.</t>
  </si>
  <si>
    <t>31/10/2019</t>
  </si>
  <si>
    <t>VGC</t>
  </si>
  <si>
    <t>Societat Cooperativa Catalana del Vi</t>
  </si>
  <si>
    <t>1. Fondo de reserva obligatorio</t>
  </si>
  <si>
    <t>1. Capital cooperativo suscrito</t>
  </si>
  <si>
    <t>2. Capital cooperativo no exigido</t>
  </si>
  <si>
    <t>I. Fondo de formación y promoción cooperativa a corto plazo</t>
  </si>
  <si>
    <t>1. Fondo de educación, formación y promoción a largo plazo</t>
  </si>
  <si>
    <t>c) Consumo de existencias de socios</t>
  </si>
  <si>
    <t>12. Fondo de educación y formación</t>
  </si>
  <si>
    <t>ESTADOS ABREVIADOS DE INGRESOS Y GASTOS RECONOCIDOS CORRESPONDIENTES A LOS EJERCICIOS 2017 Y 2018</t>
  </si>
  <si>
    <t>A) RESULTADO DE LA CUENTA DE PÉRDIDAS Y GANANCIAS</t>
  </si>
  <si>
    <t>INGRESOS Y GASTOS IMPUTADOS AL PATRIMONIO NETO</t>
  </si>
  <si>
    <t>I. Por valoración de instrumentos financieros</t>
  </si>
  <si>
    <t>V. Efecto impositivo</t>
  </si>
  <si>
    <t>II. Por cobertura de flujos de efectivo</t>
  </si>
  <si>
    <t>III. Subvenciones, donaciones y legados recibidos</t>
  </si>
  <si>
    <t>IV. Por ganancias y pérdidas actuariales y otros ajustes</t>
  </si>
  <si>
    <t>TRANSFERENCIAS A LA CUENTA DE PÉRDIDAS Y GANANCIAS</t>
  </si>
  <si>
    <t>C) Total de las transferencias a la cuenta de pérdidas y ganancias (VI + VII+</t>
  </si>
  <si>
    <t>VIII + IX )</t>
  </si>
  <si>
    <t xml:space="preserve">B) Total ingresos y gastos imputados directamente en el patrimonio neto ( I + II + III+ </t>
  </si>
  <si>
    <t>IV+ V)</t>
  </si>
  <si>
    <t>VI. Por valoración de instrumentos financieros</t>
  </si>
  <si>
    <t>VII. Por coberturas de flujos de efectivo</t>
  </si>
  <si>
    <t>VIII. Subvenciones, donaciones y legados recibidos</t>
  </si>
  <si>
    <t>IX. Efecto impositivo</t>
  </si>
  <si>
    <t>TOTAL DE INGRESOS Y GASTOS RECONOCIDOS ( A + B + C)</t>
  </si>
  <si>
    <t>EJERCICIO 31/08/2018</t>
  </si>
  <si>
    <t>EJERCICIO 31/08/2017</t>
  </si>
  <si>
    <t>ESTADOS ABREVIADOS DE CAMBIOS EN EL PATRIMONIO NETO CORRESPONIENTE A LOS EJERCICIO 2017 Y 2018</t>
  </si>
  <si>
    <t>Capital Escriturado</t>
  </si>
  <si>
    <t>Reservas</t>
  </si>
  <si>
    <t>Resultado del ejercicio</t>
  </si>
  <si>
    <t>Ajustes por cambio de valor</t>
  </si>
  <si>
    <t>Subvenciones, donaciones y legados recibidos</t>
  </si>
  <si>
    <t>Total</t>
  </si>
  <si>
    <t>I. Ajustes por cambios de criterio del ejercicio 2016 y anteriores</t>
  </si>
  <si>
    <t>II. Ajustes por errores del ejercicio 2016 y anteriores</t>
  </si>
  <si>
    <t>A) SALDO, FINAL DEL EJERCICIO 2016</t>
  </si>
  <si>
    <t>B) SALDO AJUSTADO, INICIO EJERCICIO 2017</t>
  </si>
  <si>
    <t>I. Total ingresos y gastos reconocidos</t>
  </si>
  <si>
    <t>II. Operaciones con socios o propietarios</t>
  </si>
  <si>
    <t>1. Aumento de Capital</t>
  </si>
  <si>
    <t>2. (–) Reducción de Capital</t>
  </si>
  <si>
    <t>3. Otras Operaciones Con Socios o Propietarios</t>
  </si>
  <si>
    <t>III. Otras Variaciones del Patrimonio Neto</t>
  </si>
  <si>
    <t>C) SALDO FINAL EJERCICIO 2017</t>
  </si>
  <si>
    <t>I. Ajustes por cambios de criterio del ejercicio 2017 y anteriores</t>
  </si>
  <si>
    <t>II. Ajustes por errores del ejercicio 2017 y anteriores</t>
  </si>
  <si>
    <t>D) SALDO AJUSTADO, INICIO EJERCICIO 2018</t>
  </si>
  <si>
    <t>E) SALDO FINAL EJERCICIO 2018</t>
  </si>
  <si>
    <t>e) Adquisiciones a los socios</t>
  </si>
  <si>
    <t>22. Dotación al fondo de educación, formación y promoción</t>
  </si>
  <si>
    <t>L'excedent de la cooperativa és de 15.396,13 euros durant el tancament de l'any 31/08/2018 i l'any anterior 104.644,27 euros. Al 2016 amb la dotació obtenim un resultat de 24.076,99 euros.</t>
  </si>
  <si>
    <t>EJERCICIO 31/08/2016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</si>
</sst>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d/mm/yyyy;@"/>
    <numFmt numFmtId="165" formatCode="#,##0.00_ ;[Red]\-#,##0.00\ "/>
    <numFmt numFmtId="166" formatCode="0_ ;[Red]\-0\ "/>
    <numFmt numFmtId="167" formatCode="#,##0.00_ ;\-#,##0.00\ "/>
    <numFmt numFmtId="168" formatCode="_-* #,##0\ _P_t_s_-;\-* #,##0\ _P_t_s_-;_-* &quot;-&quot;\ _P_t_s_-;_-@_-"/>
    <numFmt numFmtId="169" formatCode="#,##0.0000"/>
    <numFmt numFmtId="170" formatCode="_-* #,##0.00\ [$€]_-;\-* #,##0.00\ [$€]_-;_-* &quot;-&quot;??\ [$€]_-;_-@_-"/>
    <numFmt numFmtId="171" formatCode="_-* #,##0.00\ _P_t_s_-;\-* #,##0.00\ _P_t_s_-;_-* &quot;-&quot;??\ _P_t_s_-;_-@_-"/>
    <numFmt numFmtId="172" formatCode="0.000000"/>
    <numFmt numFmtId="173" formatCode="0.0%"/>
  </numFmts>
  <fonts count="77">
    <font>
      <sz val="11"/>
      <color theme="1"/>
      <name val="Calibri"/>
      <family val="2"/>
      <scheme val="minor"/>
    </font>
    <font>
      <sz val="10"/>
      <name val="Arial"/>
      <family val="2"/>
    </font>
    <font>
      <sz val="10"/>
      <name val="Arial Narrow"/>
      <family val="2"/>
    </font>
    <font>
      <sz val="12"/>
      <name val="Times New Roman"/>
      <family val="1"/>
    </font>
    <font>
      <b/>
      <sz val="12"/>
      <name val="Times New Roman"/>
      <family val="1"/>
    </font>
    <font>
      <b/>
      <sz val="10"/>
      <name val="Arial Narrow"/>
      <family val="2"/>
    </font>
    <font>
      <sz val="11"/>
      <name val="Times New Roman"/>
      <family val="1"/>
    </font>
    <font>
      <b/>
      <sz val="10"/>
      <name val="Arial"/>
      <family val="2"/>
    </font>
    <font>
      <b/>
      <u/>
      <sz val="12"/>
      <name val="Times New Roman"/>
      <family val="1"/>
    </font>
    <font>
      <b/>
      <i/>
      <sz val="10"/>
      <color indexed="10"/>
      <name val="Arial"/>
      <family val="2"/>
    </font>
    <font>
      <sz val="9"/>
      <name val="Arial"/>
      <family val="2"/>
    </font>
    <font>
      <b/>
      <sz val="12"/>
      <name val="Arial"/>
      <family val="2"/>
    </font>
    <font>
      <sz val="12"/>
      <name val="Arial"/>
      <family val="2"/>
    </font>
    <font>
      <sz val="4"/>
      <name val="Arial"/>
      <family val="2"/>
    </font>
    <font>
      <b/>
      <sz val="14"/>
      <name val="Arial"/>
      <family val="2"/>
    </font>
    <font>
      <sz val="6"/>
      <name val="Arial"/>
      <family val="2"/>
    </font>
    <font>
      <b/>
      <sz val="4"/>
      <name val="Arial"/>
      <family val="2"/>
    </font>
    <font>
      <b/>
      <i/>
      <sz val="9"/>
      <color indexed="10"/>
      <name val="Arial"/>
      <family val="2"/>
    </font>
    <font>
      <b/>
      <sz val="6"/>
      <name val="Arial"/>
      <family val="2"/>
    </font>
    <font>
      <b/>
      <sz val="11"/>
      <name val="Times New Roman"/>
      <family val="1"/>
    </font>
    <font>
      <b/>
      <sz val="11"/>
      <name val="Arial"/>
      <family val="2"/>
    </font>
    <font>
      <i/>
      <sz val="10"/>
      <name val="Arial"/>
      <family val="2"/>
    </font>
    <font>
      <sz val="8"/>
      <name val="Arial"/>
      <family val="2"/>
    </font>
    <font>
      <sz val="8"/>
      <color indexed="81"/>
      <name val="Tahoma"/>
      <family val="2"/>
    </font>
    <font>
      <u/>
      <sz val="10"/>
      <color indexed="12"/>
      <name val="Arial"/>
      <family val="2"/>
    </font>
    <font>
      <sz val="10"/>
      <color indexed="8"/>
      <name val="Arial"/>
      <family val="2"/>
    </font>
    <font>
      <sz val="11"/>
      <color indexed="8"/>
      <name val="Calibri"/>
      <family val="2"/>
    </font>
    <font>
      <sz val="9"/>
      <color indexed="8"/>
      <name val="Times New Roman"/>
      <family val="1"/>
    </font>
    <font>
      <sz val="10"/>
      <name val="Arial"/>
      <family val="2"/>
    </font>
    <font>
      <i/>
      <sz val="9"/>
      <name val="Arial"/>
      <family val="2"/>
    </font>
    <font>
      <sz val="10"/>
      <name val="Geneva"/>
    </font>
    <font>
      <sz val="8"/>
      <color indexed="10"/>
      <name val="Arial"/>
      <family val="2"/>
    </font>
    <font>
      <sz val="11"/>
      <name val="Arial"/>
      <family val="2"/>
    </font>
    <font>
      <b/>
      <i/>
      <sz val="12"/>
      <color indexed="10"/>
      <name val="Times New Roman"/>
      <family val="1"/>
    </font>
    <font>
      <sz val="10"/>
      <name val="Times New Roman"/>
      <family val="1"/>
    </font>
    <font>
      <b/>
      <sz val="8"/>
      <name val="Arial"/>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i/>
      <sz val="10"/>
      <color rgb="FFFF0000"/>
      <name val="Arial"/>
      <family val="2"/>
    </font>
    <font>
      <sz val="10"/>
      <color rgb="FFFF0000"/>
      <name val="Arial"/>
      <family val="2"/>
    </font>
    <font>
      <sz val="10"/>
      <color rgb="FFFF0000"/>
      <name val="Geneva"/>
    </font>
    <font>
      <sz val="10"/>
      <color theme="0"/>
      <name val="Geneva"/>
    </font>
    <font>
      <sz val="10"/>
      <color theme="0"/>
      <name val="Arial"/>
      <family val="2"/>
    </font>
    <font>
      <sz val="8"/>
      <color rgb="FFFF0000"/>
      <name val="Arial"/>
      <family val="2"/>
    </font>
    <font>
      <sz val="9"/>
      <color rgb="FF000000"/>
      <name val="Arial"/>
      <family val="2"/>
    </font>
    <font>
      <b/>
      <sz val="12"/>
      <color rgb="FFFF0000"/>
      <name val="Times New Roman"/>
      <family val="1"/>
    </font>
    <font>
      <b/>
      <sz val="12"/>
      <color theme="0" tint="-4.9989318521683403E-2"/>
      <name val="Times New Roman"/>
      <family val="1"/>
    </font>
    <font>
      <b/>
      <sz val="10"/>
      <color rgb="FFFF0000"/>
      <name val="Arial"/>
      <family val="2"/>
    </font>
    <font>
      <b/>
      <u/>
      <sz val="12"/>
      <color rgb="FFFF0000"/>
      <name val="Times New Roman"/>
      <family val="1"/>
    </font>
    <font>
      <b/>
      <u/>
      <sz val="10"/>
      <color rgb="FFFF0000"/>
      <name val="Arial"/>
      <family val="2"/>
    </font>
    <font>
      <b/>
      <i/>
      <sz val="11"/>
      <color rgb="FFFF0000"/>
      <name val="Arial"/>
      <family val="2"/>
    </font>
    <font>
      <b/>
      <sz val="9"/>
      <color rgb="FFFF0000"/>
      <name val="Arial"/>
      <family val="2"/>
    </font>
    <font>
      <sz val="9"/>
      <color indexed="81"/>
      <name val="Tahoma"/>
      <charset val="1"/>
    </font>
    <font>
      <b/>
      <sz val="9"/>
      <color indexed="81"/>
      <name val="Tahoma"/>
      <charset val="1"/>
    </font>
    <font>
      <b/>
      <u/>
      <sz val="9"/>
      <color theme="1"/>
      <name val="Segoe UI"/>
      <family val="2"/>
    </font>
    <font>
      <sz val="9"/>
      <color theme="1"/>
      <name val="Segoe UI"/>
      <family val="2"/>
    </font>
    <font>
      <b/>
      <sz val="9"/>
      <color theme="1"/>
      <name val="Segoe UI"/>
      <family val="2"/>
    </font>
    <font>
      <b/>
      <sz val="9"/>
      <name val="Segoe UI"/>
      <family val="2"/>
    </font>
    <font>
      <sz val="9"/>
      <name val="Segoe UI"/>
      <family val="2"/>
    </font>
    <font>
      <i/>
      <sz val="9"/>
      <name val="Segoe UI"/>
      <family val="2"/>
    </font>
    <font>
      <sz val="8"/>
      <name val="Calibri"/>
      <family val="2"/>
      <scheme val="minor"/>
    </font>
  </fonts>
  <fills count="46">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33CC33"/>
        <bgColor indexed="64"/>
      </patternFill>
    </fill>
    <fill>
      <patternFill patternType="solid">
        <fgColor rgb="FF99FF99"/>
        <bgColor indexed="64"/>
      </patternFill>
    </fill>
    <fill>
      <patternFill patternType="solid">
        <fgColor theme="3" tint="0.79998168889431442"/>
        <bgColor indexed="64"/>
      </patternFill>
    </fill>
    <fill>
      <patternFill patternType="solid">
        <fgColor theme="0"/>
        <bgColor indexed="64"/>
      </patternFill>
    </fill>
  </fills>
  <borders count="81">
    <border>
      <left/>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thin">
        <color indexed="64"/>
      </top>
      <bottom style="double">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style="thin">
        <color indexed="64"/>
      </bottom>
      <diagonal/>
    </border>
  </borders>
  <cellStyleXfs count="95">
    <xf numFmtId="0" fontId="0" fillId="0" borderId="0"/>
    <xf numFmtId="0" fontId="7" fillId="0" borderId="0" applyNumberFormat="0" applyFill="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9" fillId="23" borderId="0" applyNumberFormat="0" applyBorder="0" applyAlignment="0" applyProtection="0"/>
    <xf numFmtId="0" fontId="40" fillId="24" borderId="70" applyNumberFormat="0" applyAlignment="0" applyProtection="0"/>
    <xf numFmtId="0" fontId="41" fillId="25" borderId="71" applyNumberFormat="0" applyAlignment="0" applyProtection="0"/>
    <xf numFmtId="0" fontId="42" fillId="0" borderId="72" applyNumberFormat="0" applyFill="0" applyAlignment="0" applyProtection="0"/>
    <xf numFmtId="0" fontId="43" fillId="0" borderId="0" applyNumberFormat="0" applyFill="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44" fillId="32" borderId="70" applyNumberFormat="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0" fontId="6" fillId="0" borderId="0" applyFont="0" applyFill="0" applyBorder="0" applyAlignment="0" applyProtection="0"/>
    <xf numFmtId="170" fontId="28" fillId="0" borderId="0" applyFont="0" applyFill="0" applyBorder="0" applyAlignment="0" applyProtection="0"/>
    <xf numFmtId="170" fontId="1" fillId="0" borderId="0" applyFont="0" applyFill="0" applyBorder="0" applyAlignment="0" applyProtection="0"/>
    <xf numFmtId="170" fontId="36"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24" fillId="0" borderId="0" applyNumberFormat="0" applyFill="0" applyBorder="0" applyAlignment="0" applyProtection="0">
      <alignment vertical="top"/>
      <protection locked="0"/>
    </xf>
    <xf numFmtId="0" fontId="45" fillId="33" borderId="0" applyNumberFormat="0" applyBorder="0" applyAlignment="0" applyProtection="0"/>
    <xf numFmtId="168"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46" fillId="34" borderId="0" applyNumberFormat="0" applyBorder="0" applyAlignment="0" applyProtection="0"/>
    <xf numFmtId="0" fontId="1" fillId="0" borderId="0"/>
    <xf numFmtId="0" fontId="1" fillId="0" borderId="0"/>
    <xf numFmtId="0" fontId="6" fillId="0" borderId="0"/>
    <xf numFmtId="0" fontId="6" fillId="0" borderId="0"/>
    <xf numFmtId="0" fontId="1" fillId="0" borderId="0"/>
    <xf numFmtId="0" fontId="1" fillId="0" borderId="0"/>
    <xf numFmtId="0" fontId="37" fillId="0" borderId="0"/>
    <xf numFmtId="0" fontId="28" fillId="0" borderId="0"/>
    <xf numFmtId="0" fontId="1" fillId="0" borderId="0"/>
    <xf numFmtId="0" fontId="36" fillId="0" borderId="0"/>
    <xf numFmtId="0" fontId="37" fillId="0" borderId="0"/>
    <xf numFmtId="0" fontId="25" fillId="0" borderId="0"/>
    <xf numFmtId="0" fontId="37" fillId="0" borderId="0"/>
    <xf numFmtId="0" fontId="1" fillId="0" borderId="0"/>
    <xf numFmtId="0" fontId="37" fillId="0" borderId="0"/>
    <xf numFmtId="0" fontId="30" fillId="0" borderId="0"/>
    <xf numFmtId="0" fontId="1" fillId="0" borderId="0"/>
    <xf numFmtId="0" fontId="1" fillId="0" borderId="0"/>
    <xf numFmtId="0" fontId="1" fillId="0" borderId="0"/>
    <xf numFmtId="0" fontId="37" fillId="35" borderId="73"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7" fillId="24" borderId="74"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75" applyNumberFormat="0" applyFill="0" applyAlignment="0" applyProtection="0"/>
    <xf numFmtId="0" fontId="52" fillId="0" borderId="76" applyNumberFormat="0" applyFill="0" applyAlignment="0" applyProtection="0"/>
    <xf numFmtId="0" fontId="43" fillId="0" borderId="77" applyNumberFormat="0" applyFill="0" applyAlignment="0" applyProtection="0"/>
    <xf numFmtId="0" fontId="53" fillId="0" borderId="78" applyNumberFormat="0" applyFill="0" applyAlignment="0" applyProtection="0"/>
    <xf numFmtId="3" fontId="1" fillId="0" borderId="0"/>
  </cellStyleXfs>
  <cellXfs count="590">
    <xf numFmtId="0" fontId="0" fillId="0" borderId="0" xfId="0"/>
    <xf numFmtId="0" fontId="34" fillId="0" borderId="0" xfId="54" applyFont="1" applyAlignment="1">
      <alignment horizontal="left"/>
    </xf>
    <xf numFmtId="0" fontId="34" fillId="0" borderId="0" xfId="54" applyFont="1" applyAlignment="1">
      <alignment horizontal="left"/>
    </xf>
    <xf numFmtId="0" fontId="8" fillId="0" borderId="0" xfId="54" applyFont="1" applyAlignment="1">
      <alignment horizontal="left"/>
    </xf>
    <xf numFmtId="0" fontId="3" fillId="0" borderId="1" xfId="54" applyFont="1" applyBorder="1" applyAlignment="1" applyProtection="1">
      <alignment vertical="top" wrapText="1"/>
      <protection locked="0"/>
    </xf>
    <xf numFmtId="0" fontId="3" fillId="0" borderId="2" xfId="54" applyFont="1" applyBorder="1" applyAlignment="1" applyProtection="1">
      <alignment vertical="top" wrapText="1"/>
      <protection locked="0"/>
    </xf>
    <xf numFmtId="0" fontId="1" fillId="0" borderId="0" xfId="54"/>
    <xf numFmtId="0" fontId="5" fillId="0" borderId="0" xfId="54" applyFont="1" applyBorder="1" applyAlignment="1" applyProtection="1">
      <alignment horizontal="center" vertical="top" wrapText="1"/>
      <protection locked="0"/>
    </xf>
    <xf numFmtId="0" fontId="3" fillId="0" borderId="3" xfId="54" applyFont="1" applyBorder="1" applyAlignment="1" applyProtection="1">
      <alignment vertical="top" wrapText="1"/>
      <protection locked="0"/>
    </xf>
    <xf numFmtId="0" fontId="3" fillId="0" borderId="4" xfId="54" applyFont="1" applyBorder="1" applyAlignment="1" applyProtection="1">
      <alignment vertical="top" wrapText="1"/>
      <protection locked="0"/>
    </xf>
    <xf numFmtId="3" fontId="1" fillId="0" borderId="0" xfId="54" applyNumberFormat="1"/>
    <xf numFmtId="4" fontId="1" fillId="0" borderId="0" xfId="54" applyNumberFormat="1"/>
    <xf numFmtId="3" fontId="7" fillId="0" borderId="0" xfId="54" applyNumberFormat="1" applyFont="1"/>
    <xf numFmtId="0" fontId="1" fillId="0" borderId="0" xfId="54" applyBorder="1"/>
    <xf numFmtId="0" fontId="1" fillId="0" borderId="0" xfId="54" applyFill="1" applyBorder="1" applyAlignment="1">
      <alignment horizontal="left"/>
    </xf>
    <xf numFmtId="0" fontId="1" fillId="0" borderId="0" xfId="54" applyFont="1" applyFill="1" applyBorder="1" applyAlignment="1">
      <alignment horizontal="left"/>
    </xf>
    <xf numFmtId="4" fontId="1" fillId="0" borderId="5" xfId="54" applyNumberFormat="1" applyBorder="1" applyAlignment="1">
      <alignment horizontal="center"/>
    </xf>
    <xf numFmtId="0" fontId="3" fillId="0" borderId="6" xfId="54" applyFont="1" applyBorder="1" applyAlignment="1" applyProtection="1">
      <alignment vertical="top" wrapText="1"/>
      <protection locked="0"/>
    </xf>
    <xf numFmtId="0" fontId="3" fillId="0" borderId="0" xfId="54" applyFont="1" applyBorder="1" applyAlignment="1" applyProtection="1">
      <alignment vertical="top" wrapText="1"/>
      <protection locked="0"/>
    </xf>
    <xf numFmtId="165" fontId="1" fillId="0" borderId="0" xfId="54" applyNumberFormat="1"/>
    <xf numFmtId="10" fontId="37" fillId="0" borderId="0" xfId="77" applyNumberFormat="1" applyFont="1"/>
    <xf numFmtId="4" fontId="4" fillId="0" borderId="7" xfId="54" applyNumberFormat="1" applyFont="1" applyBorder="1" applyAlignment="1" applyProtection="1">
      <alignment horizontal="center" vertical="top" wrapText="1"/>
      <protection locked="0"/>
    </xf>
    <xf numFmtId="4" fontId="4" fillId="0" borderId="0" xfId="54" applyNumberFormat="1" applyFont="1" applyBorder="1" applyAlignment="1" applyProtection="1">
      <alignment horizontal="center" vertical="top" wrapText="1"/>
      <protection locked="0"/>
    </xf>
    <xf numFmtId="0" fontId="3" fillId="0" borderId="8" xfId="54" applyFont="1" applyBorder="1" applyAlignment="1" applyProtection="1">
      <alignment vertical="top" wrapText="1"/>
      <protection locked="0"/>
    </xf>
    <xf numFmtId="3" fontId="7" fillId="0" borderId="0" xfId="54" applyNumberFormat="1" applyFont="1" applyBorder="1" applyAlignment="1">
      <alignment horizontal="center"/>
    </xf>
    <xf numFmtId="3" fontId="54" fillId="0" borderId="0" xfId="54" applyNumberFormat="1" applyFont="1" applyBorder="1" applyAlignment="1">
      <alignment horizontal="center"/>
    </xf>
    <xf numFmtId="3" fontId="1" fillId="0" borderId="0" xfId="54" applyNumberFormat="1" applyAlignment="1">
      <alignment horizontal="left" wrapText="1"/>
    </xf>
    <xf numFmtId="3" fontId="1" fillId="0" borderId="0" xfId="54" applyNumberFormat="1" applyAlignment="1">
      <alignment wrapText="1"/>
    </xf>
    <xf numFmtId="3" fontId="1" fillId="0" borderId="0" xfId="54" applyNumberFormat="1" applyFont="1"/>
    <xf numFmtId="166" fontId="10" fillId="0" borderId="0" xfId="54" applyNumberFormat="1" applyFont="1"/>
    <xf numFmtId="166" fontId="10" fillId="0" borderId="0" xfId="54" applyNumberFormat="1" applyFont="1" applyAlignment="1"/>
    <xf numFmtId="4" fontId="10" fillId="0" borderId="0" xfId="54" applyNumberFormat="1" applyFont="1" applyAlignment="1">
      <alignment horizontal="right"/>
    </xf>
    <xf numFmtId="165" fontId="10" fillId="0" borderId="0" xfId="54" applyNumberFormat="1" applyFont="1"/>
    <xf numFmtId="10" fontId="10" fillId="0" borderId="0" xfId="77" applyNumberFormat="1" applyFont="1"/>
    <xf numFmtId="0" fontId="11" fillId="0" borderId="9" xfId="54" applyFont="1" applyBorder="1" applyAlignment="1">
      <alignment horizontal="left"/>
    </xf>
    <xf numFmtId="166" fontId="10" fillId="0" borderId="10" xfId="54" applyNumberFormat="1" applyFont="1" applyBorder="1"/>
    <xf numFmtId="0" fontId="11" fillId="0" borderId="10" xfId="54" applyFont="1" applyBorder="1" applyAlignment="1">
      <alignment horizontal="left"/>
    </xf>
    <xf numFmtId="0" fontId="11" fillId="2" borderId="10" xfId="54" applyFont="1" applyFill="1" applyBorder="1" applyAlignment="1">
      <alignment horizontal="center" wrapText="1"/>
    </xf>
    <xf numFmtId="1" fontId="11" fillId="2" borderId="10" xfId="54" applyNumberFormat="1" applyFont="1" applyFill="1" applyBorder="1" applyAlignment="1">
      <alignment horizontal="center" wrapText="1"/>
    </xf>
    <xf numFmtId="166" fontId="10" fillId="0" borderId="11" xfId="54" applyNumberFormat="1" applyFont="1" applyBorder="1"/>
    <xf numFmtId="4" fontId="7" fillId="0" borderId="12" xfId="54" applyNumberFormat="1" applyFont="1" applyBorder="1" applyAlignment="1"/>
    <xf numFmtId="4" fontId="1" fillId="0" borderId="13" xfId="54" applyNumberFormat="1" applyFont="1" applyBorder="1" applyAlignment="1"/>
    <xf numFmtId="4" fontId="1" fillId="0" borderId="13" xfId="54" applyNumberFormat="1" applyFont="1" applyFill="1" applyBorder="1" applyAlignment="1"/>
    <xf numFmtId="4" fontId="7" fillId="0" borderId="13" xfId="54" applyNumberFormat="1" applyFont="1" applyBorder="1" applyAlignment="1"/>
    <xf numFmtId="4" fontId="11" fillId="0" borderId="14" xfId="54" applyNumberFormat="1" applyFont="1" applyBorder="1" applyAlignment="1"/>
    <xf numFmtId="4" fontId="15" fillId="0" borderId="0" xfId="54" applyNumberFormat="1" applyFont="1" applyBorder="1" applyAlignment="1"/>
    <xf numFmtId="4" fontId="15" fillId="0" borderId="15" xfId="54" applyNumberFormat="1" applyFont="1" applyBorder="1" applyAlignment="1"/>
    <xf numFmtId="4" fontId="7" fillId="0" borderId="13" xfId="54" applyNumberFormat="1" applyFont="1" applyBorder="1"/>
    <xf numFmtId="4" fontId="1" fillId="0" borderId="16" xfId="54" applyNumberFormat="1" applyBorder="1"/>
    <xf numFmtId="0" fontId="14" fillId="0" borderId="17" xfId="54" applyFont="1" applyBorder="1" applyAlignment="1"/>
    <xf numFmtId="0" fontId="14" fillId="0" borderId="14" xfId="54" applyFont="1" applyBorder="1" applyAlignment="1"/>
    <xf numFmtId="166" fontId="10" fillId="0" borderId="18" xfId="54" applyNumberFormat="1" applyFont="1" applyBorder="1"/>
    <xf numFmtId="4" fontId="14" fillId="0" borderId="18" xfId="54" applyNumberFormat="1" applyFont="1" applyBorder="1" applyAlignment="1"/>
    <xf numFmtId="0" fontId="15" fillId="0" borderId="0" xfId="54" applyFont="1" applyBorder="1" applyAlignment="1">
      <alignment horizontal="center" vertical="top"/>
    </xf>
    <xf numFmtId="0" fontId="15" fillId="0" borderId="0" xfId="54" applyFont="1" applyFill="1" applyBorder="1" applyAlignment="1">
      <alignment horizontal="center" vertical="top"/>
    </xf>
    <xf numFmtId="0" fontId="15" fillId="0" borderId="0" xfId="54" applyFont="1" applyBorder="1"/>
    <xf numFmtId="4" fontId="15" fillId="0" borderId="0" xfId="54" applyNumberFormat="1" applyFont="1" applyBorder="1"/>
    <xf numFmtId="0" fontId="1" fillId="0" borderId="0" xfId="54" applyBorder="1" applyAlignment="1"/>
    <xf numFmtId="4" fontId="1" fillId="0" borderId="0" xfId="54" applyNumberFormat="1" applyBorder="1" applyAlignment="1"/>
    <xf numFmtId="166" fontId="10" fillId="0" borderId="0" xfId="54" applyNumberFormat="1" applyFont="1" applyAlignment="1">
      <alignment horizontal="left" wrapText="1"/>
    </xf>
    <xf numFmtId="0" fontId="2" fillId="0" borderId="0" xfId="54" applyFont="1" applyBorder="1" applyAlignment="1" applyProtection="1">
      <alignment vertical="top" wrapText="1"/>
      <protection locked="0"/>
    </xf>
    <xf numFmtId="0" fontId="4" fillId="0" borderId="0" xfId="54" applyFont="1" applyBorder="1" applyAlignment="1" applyProtection="1">
      <alignment horizontal="center" vertical="top" wrapText="1"/>
      <protection locked="0"/>
    </xf>
    <xf numFmtId="0" fontId="5" fillId="0" borderId="0" xfId="54" applyFont="1" applyBorder="1" applyAlignment="1" applyProtection="1">
      <alignment vertical="top" wrapText="1"/>
      <protection locked="0"/>
    </xf>
    <xf numFmtId="3" fontId="1" fillId="0" borderId="0" xfId="54" applyNumberFormat="1" applyBorder="1"/>
    <xf numFmtId="0" fontId="15" fillId="0" borderId="19" xfId="54" applyFont="1" applyBorder="1" applyAlignment="1"/>
    <xf numFmtId="0" fontId="1" fillId="0" borderId="20" xfId="54" applyBorder="1" applyAlignment="1"/>
    <xf numFmtId="0" fontId="1" fillId="0" borderId="20" xfId="54" applyBorder="1" applyAlignment="1">
      <alignment horizontal="center"/>
    </xf>
    <xf numFmtId="0" fontId="1" fillId="0" borderId="21" xfId="54" applyBorder="1"/>
    <xf numFmtId="0" fontId="11" fillId="0" borderId="22" xfId="54" applyFont="1" applyFill="1" applyBorder="1" applyAlignment="1">
      <alignment vertical="top"/>
    </xf>
    <xf numFmtId="0" fontId="11" fillId="0" borderId="0" xfId="54" applyFont="1" applyBorder="1"/>
    <xf numFmtId="0" fontId="11" fillId="0" borderId="23" xfId="54" applyFont="1" applyBorder="1"/>
    <xf numFmtId="0" fontId="11" fillId="0" borderId="12" xfId="54" applyFont="1" applyBorder="1"/>
    <xf numFmtId="0" fontId="7" fillId="0" borderId="24" xfId="54" applyFont="1" applyBorder="1"/>
    <xf numFmtId="0" fontId="7" fillId="0" borderId="22" xfId="54" applyFont="1" applyFill="1" applyBorder="1" applyAlignment="1">
      <alignment wrapText="1"/>
    </xf>
    <xf numFmtId="0" fontId="7" fillId="0" borderId="0" xfId="54" applyFont="1" applyFill="1" applyBorder="1" applyAlignment="1">
      <alignment horizontal="center" vertical="top"/>
    </xf>
    <xf numFmtId="0" fontId="7" fillId="0" borderId="23" xfId="54" applyFont="1" applyFill="1" applyBorder="1" applyAlignment="1">
      <alignment horizontal="center" vertical="top"/>
    </xf>
    <xf numFmtId="167" fontId="7" fillId="0" borderId="13" xfId="54" applyNumberFormat="1" applyFont="1" applyFill="1" applyBorder="1" applyAlignment="1"/>
    <xf numFmtId="0" fontId="15" fillId="0" borderId="24" xfId="54" applyFont="1" applyBorder="1" applyAlignment="1">
      <alignment horizontal="center" vertical="top" wrapText="1"/>
    </xf>
    <xf numFmtId="4" fontId="15" fillId="0" borderId="22" xfId="44" applyNumberFormat="1" applyFont="1" applyFill="1" applyBorder="1" applyAlignment="1">
      <alignment horizontal="left"/>
    </xf>
    <xf numFmtId="0" fontId="18" fillId="0" borderId="0" xfId="54" applyFont="1" applyFill="1" applyBorder="1" applyAlignment="1">
      <alignment horizontal="center" vertical="top"/>
    </xf>
    <xf numFmtId="0" fontId="18" fillId="0" borderId="23" xfId="54" applyFont="1" applyFill="1" applyBorder="1" applyAlignment="1">
      <alignment horizontal="center" vertical="top"/>
    </xf>
    <xf numFmtId="167" fontId="15" fillId="0" borderId="13" xfId="54" applyNumberFormat="1" applyFont="1" applyBorder="1" applyAlignment="1"/>
    <xf numFmtId="0" fontId="18" fillId="0" borderId="0" xfId="54" applyNumberFormat="1" applyFont="1" applyFill="1" applyBorder="1" applyAlignment="1">
      <alignment horizontal="center" vertical="top"/>
    </xf>
    <xf numFmtId="0" fontId="18" fillId="0" borderId="23" xfId="54" applyNumberFormat="1" applyFont="1" applyFill="1" applyBorder="1" applyAlignment="1">
      <alignment horizontal="center" vertical="top"/>
    </xf>
    <xf numFmtId="0" fontId="7" fillId="0" borderId="24" xfId="54" applyFont="1" applyBorder="1" applyAlignment="1">
      <alignment horizontal="center" vertical="top" wrapText="1"/>
    </xf>
    <xf numFmtId="0" fontId="7" fillId="0" borderId="22" xfId="54" applyFont="1" applyFill="1" applyBorder="1" applyAlignment="1">
      <alignment horizontal="left"/>
    </xf>
    <xf numFmtId="167" fontId="7" fillId="0" borderId="13" xfId="54" applyNumberFormat="1" applyFont="1" applyBorder="1" applyAlignment="1"/>
    <xf numFmtId="0" fontId="18" fillId="0" borderId="0" xfId="54" applyFont="1" applyFill="1" applyBorder="1" applyAlignment="1">
      <alignment horizontal="center" vertical="top" wrapText="1"/>
    </xf>
    <xf numFmtId="0" fontId="18" fillId="0" borderId="23" xfId="54" applyFont="1" applyFill="1" applyBorder="1" applyAlignment="1">
      <alignment horizontal="center" vertical="top" wrapText="1"/>
    </xf>
    <xf numFmtId="167" fontId="15" fillId="0" borderId="13" xfId="54" applyNumberFormat="1" applyFont="1" applyFill="1" applyBorder="1" applyAlignment="1"/>
    <xf numFmtId="0" fontId="15" fillId="0" borderId="24" xfId="54" quotePrefix="1" applyFont="1" applyBorder="1" applyAlignment="1">
      <alignment horizontal="center" vertical="top" wrapText="1"/>
    </xf>
    <xf numFmtId="4" fontId="18" fillId="0" borderId="0" xfId="54" applyNumberFormat="1" applyFont="1" applyFill="1" applyBorder="1" applyAlignment="1">
      <alignment horizontal="center" vertical="top" wrapText="1"/>
    </xf>
    <xf numFmtId="4" fontId="18" fillId="0" borderId="23" xfId="54" applyNumberFormat="1" applyFont="1" applyFill="1" applyBorder="1" applyAlignment="1">
      <alignment horizontal="center" vertical="top" wrapText="1"/>
    </xf>
    <xf numFmtId="0" fontId="7" fillId="0" borderId="24" xfId="54" quotePrefix="1" applyFont="1" applyBorder="1" applyAlignment="1">
      <alignment horizontal="center" vertical="top" wrapText="1"/>
    </xf>
    <xf numFmtId="0" fontId="7" fillId="0" borderId="22" xfId="54" applyFont="1" applyFill="1" applyBorder="1" applyAlignment="1"/>
    <xf numFmtId="0" fontId="7" fillId="3" borderId="24" xfId="54" applyFont="1" applyFill="1" applyBorder="1" applyAlignment="1">
      <alignment horizontal="center" vertical="top" wrapText="1"/>
    </xf>
    <xf numFmtId="0" fontId="7" fillId="3" borderId="22" xfId="54" applyFont="1" applyFill="1" applyBorder="1" applyAlignment="1">
      <alignment horizontal="left" vertical="top" wrapText="1"/>
    </xf>
    <xf numFmtId="0" fontId="7" fillId="3" borderId="0" xfId="54" applyFont="1" applyFill="1" applyBorder="1" applyAlignment="1">
      <alignment horizontal="left" vertical="top"/>
    </xf>
    <xf numFmtId="0" fontId="7" fillId="3" borderId="23" xfId="54" applyFont="1" applyFill="1" applyBorder="1" applyAlignment="1">
      <alignment horizontal="left" vertical="top"/>
    </xf>
    <xf numFmtId="4" fontId="7" fillId="3" borderId="13" xfId="54" applyNumberFormat="1" applyFont="1" applyFill="1" applyBorder="1"/>
    <xf numFmtId="0" fontId="1" fillId="0" borderId="24" xfId="54" applyBorder="1"/>
    <xf numFmtId="0" fontId="15" fillId="0" borderId="24" xfId="54" applyFont="1" applyFill="1" applyBorder="1" applyAlignment="1">
      <alignment horizontal="center" vertical="top" wrapText="1"/>
    </xf>
    <xf numFmtId="49" fontId="15" fillId="0" borderId="24" xfId="54" applyNumberFormat="1" applyFont="1" applyFill="1" applyBorder="1" applyAlignment="1">
      <alignment horizontal="center" vertical="center" wrapText="1"/>
    </xf>
    <xf numFmtId="0" fontId="7" fillId="0" borderId="24" xfId="54" applyFont="1" applyFill="1" applyBorder="1" applyAlignment="1">
      <alignment horizontal="center" vertical="top" wrapText="1"/>
    </xf>
    <xf numFmtId="0" fontId="7" fillId="0" borderId="22" xfId="1" applyFill="1" applyBorder="1" applyAlignment="1"/>
    <xf numFmtId="0" fontId="7" fillId="4" borderId="24" xfId="54" applyFont="1" applyFill="1" applyBorder="1" applyAlignment="1">
      <alignment horizontal="center" vertical="top" wrapText="1"/>
    </xf>
    <xf numFmtId="0" fontId="7" fillId="4" borderId="22" xfId="54" applyFont="1" applyFill="1" applyBorder="1" applyAlignment="1">
      <alignment horizontal="left" vertical="top" wrapText="1"/>
    </xf>
    <xf numFmtId="0" fontId="7" fillId="4" borderId="0" xfId="54" applyFont="1" applyFill="1" applyBorder="1" applyAlignment="1">
      <alignment horizontal="left" vertical="top" wrapText="1"/>
    </xf>
    <xf numFmtId="0" fontId="7" fillId="4" borderId="23" xfId="54" applyFont="1" applyFill="1" applyBorder="1" applyAlignment="1">
      <alignment horizontal="left" vertical="top" wrapText="1"/>
    </xf>
    <xf numFmtId="4" fontId="7" fillId="4" borderId="13" xfId="54" applyNumberFormat="1" applyFont="1" applyFill="1" applyBorder="1"/>
    <xf numFmtId="0" fontId="1" fillId="4" borderId="25" xfId="54" applyFill="1" applyBorder="1"/>
    <xf numFmtId="0" fontId="7" fillId="4" borderId="26" xfId="54" applyFont="1" applyFill="1" applyBorder="1" applyAlignment="1">
      <alignment vertical="top"/>
    </xf>
    <xf numFmtId="0" fontId="7" fillId="4" borderId="27" xfId="54" applyFont="1" applyFill="1" applyBorder="1"/>
    <xf numFmtId="0" fontId="7" fillId="4" borderId="28" xfId="54" applyFont="1" applyFill="1" applyBorder="1"/>
    <xf numFmtId="167" fontId="7" fillId="4" borderId="18" xfId="54" applyNumberFormat="1" applyFont="1" applyFill="1" applyBorder="1" applyAlignment="1"/>
    <xf numFmtId="0" fontId="2" fillId="0" borderId="29" xfId="54" applyFont="1" applyBorder="1" applyAlignment="1" applyProtection="1">
      <alignment horizontal="center" vertical="top" wrapText="1"/>
      <protection locked="0"/>
    </xf>
    <xf numFmtId="0" fontId="2" fillId="0" borderId="30" xfId="54" applyFont="1" applyBorder="1" applyAlignment="1" applyProtection="1">
      <alignment horizontal="center" vertical="top" wrapText="1"/>
      <protection locked="0"/>
    </xf>
    <xf numFmtId="3" fontId="11" fillId="0" borderId="20" xfId="54" applyNumberFormat="1" applyFont="1" applyBorder="1" applyAlignment="1">
      <alignment horizontal="center"/>
    </xf>
    <xf numFmtId="4" fontId="1" fillId="0" borderId="31" xfId="54" applyNumberFormat="1" applyBorder="1"/>
    <xf numFmtId="4" fontId="1" fillId="0" borderId="32" xfId="54" applyNumberFormat="1" applyBorder="1"/>
    <xf numFmtId="4" fontId="37" fillId="0" borderId="33" xfId="77" applyNumberFormat="1" applyFont="1" applyBorder="1"/>
    <xf numFmtId="4" fontId="21" fillId="0" borderId="33" xfId="54" applyNumberFormat="1" applyFont="1" applyBorder="1"/>
    <xf numFmtId="4" fontId="1" fillId="0" borderId="33" xfId="54" applyNumberFormat="1" applyBorder="1"/>
    <xf numFmtId="4" fontId="1" fillId="0" borderId="20" xfId="54" applyNumberFormat="1" applyBorder="1"/>
    <xf numFmtId="4" fontId="1" fillId="0" borderId="34" xfId="54" applyNumberFormat="1" applyBorder="1"/>
    <xf numFmtId="4" fontId="21" fillId="0" borderId="31" xfId="54" applyNumberFormat="1" applyFont="1" applyBorder="1"/>
    <xf numFmtId="4" fontId="21" fillId="0" borderId="32" xfId="54" applyNumberFormat="1" applyFont="1" applyBorder="1"/>
    <xf numFmtId="4" fontId="21" fillId="0" borderId="0" xfId="54" applyNumberFormat="1" applyFont="1" applyBorder="1"/>
    <xf numFmtId="4" fontId="1" fillId="0" borderId="35" xfId="54" applyNumberFormat="1" applyBorder="1" applyAlignment="1">
      <alignment horizontal="center"/>
    </xf>
    <xf numFmtId="4" fontId="37" fillId="0" borderId="5" xfId="44" applyNumberFormat="1" applyFont="1" applyBorder="1" applyAlignment="1">
      <alignment horizontal="center"/>
    </xf>
    <xf numFmtId="10" fontId="37" fillId="0" borderId="5" xfId="77" applyNumberFormat="1" applyFont="1" applyBorder="1" applyAlignment="1">
      <alignment horizontal="center"/>
    </xf>
    <xf numFmtId="10" fontId="37" fillId="0" borderId="36" xfId="77" applyNumberFormat="1" applyFont="1" applyBorder="1" applyAlignment="1">
      <alignment horizontal="center"/>
    </xf>
    <xf numFmtId="10" fontId="37" fillId="0" borderId="0" xfId="77" applyNumberFormat="1" applyFont="1" applyBorder="1" applyAlignment="1">
      <alignment horizontal="center"/>
    </xf>
    <xf numFmtId="4" fontId="37" fillId="0" borderId="0" xfId="77" applyNumberFormat="1" applyFont="1" applyFill="1"/>
    <xf numFmtId="169" fontId="37" fillId="0" borderId="0" xfId="77" applyNumberFormat="1" applyFont="1" applyFill="1"/>
    <xf numFmtId="4" fontId="37" fillId="0" borderId="0" xfId="77" applyNumberFormat="1" applyFont="1" applyBorder="1" applyAlignment="1">
      <alignment horizontal="center"/>
    </xf>
    <xf numFmtId="0" fontId="1" fillId="0" borderId="0" xfId="54" applyFill="1" applyBorder="1"/>
    <xf numFmtId="10" fontId="37" fillId="0" borderId="0" xfId="77" applyNumberFormat="1" applyFont="1" applyBorder="1" applyAlignment="1">
      <alignment horizontal="left"/>
    </xf>
    <xf numFmtId="166" fontId="10" fillId="0" borderId="0" xfId="54" applyNumberFormat="1" applyFont="1" applyAlignment="1">
      <alignment wrapText="1"/>
    </xf>
    <xf numFmtId="0" fontId="28" fillId="0" borderId="0" xfId="61"/>
    <xf numFmtId="0" fontId="1" fillId="0" borderId="0" xfId="61" applyFont="1"/>
    <xf numFmtId="0" fontId="28" fillId="0" borderId="0" xfId="61" applyFill="1"/>
    <xf numFmtId="14" fontId="1" fillId="0" borderId="0" xfId="54" applyNumberFormat="1"/>
    <xf numFmtId="166" fontId="10" fillId="0" borderId="0" xfId="54" applyNumberFormat="1" applyFont="1" applyBorder="1"/>
    <xf numFmtId="0" fontId="0" fillId="0" borderId="0" xfId="0"/>
    <xf numFmtId="0" fontId="29" fillId="0" borderId="0" xfId="72" applyFont="1"/>
    <xf numFmtId="3" fontId="1" fillId="0" borderId="5" xfId="54" applyNumberFormat="1" applyFont="1" applyBorder="1" applyAlignment="1">
      <alignment horizontal="center"/>
    </xf>
    <xf numFmtId="10" fontId="37" fillId="0" borderId="5" xfId="77" applyNumberFormat="1" applyFont="1" applyBorder="1" applyAlignment="1">
      <alignment horizontal="center"/>
    </xf>
    <xf numFmtId="10" fontId="37" fillId="0" borderId="0" xfId="77" applyNumberFormat="1" applyFont="1" applyBorder="1" applyAlignment="1">
      <alignment horizontal="center"/>
    </xf>
    <xf numFmtId="10" fontId="37" fillId="0" borderId="0" xfId="77" applyNumberFormat="1" applyFont="1" applyFill="1" applyBorder="1" applyAlignment="1">
      <alignment horizontal="center"/>
    </xf>
    <xf numFmtId="4" fontId="37" fillId="0" borderId="0" xfId="77" applyNumberFormat="1" applyFont="1" applyBorder="1" applyAlignment="1">
      <alignment horizontal="center"/>
    </xf>
    <xf numFmtId="4" fontId="1" fillId="0" borderId="5" xfId="77" applyNumberFormat="1" applyFont="1" applyBorder="1" applyAlignment="1">
      <alignment horizontal="center"/>
    </xf>
    <xf numFmtId="0" fontId="1" fillId="0" borderId="0" xfId="54" applyFont="1" applyFill="1" applyBorder="1" applyAlignment="1">
      <alignment horizontal="right"/>
    </xf>
    <xf numFmtId="9" fontId="1" fillId="0" borderId="5" xfId="74" applyFont="1" applyBorder="1" applyAlignment="1">
      <alignment horizontal="center"/>
    </xf>
    <xf numFmtId="3" fontId="1" fillId="0" borderId="0" xfId="54" applyNumberFormat="1" applyFont="1" applyBorder="1" applyAlignment="1">
      <alignment horizontal="center"/>
    </xf>
    <xf numFmtId="4" fontId="1" fillId="0" borderId="0" xfId="77" applyNumberFormat="1" applyFont="1" applyBorder="1" applyAlignment="1">
      <alignment horizontal="center"/>
    </xf>
    <xf numFmtId="4" fontId="37" fillId="0" borderId="5" xfId="77" applyNumberFormat="1" applyFont="1" applyBorder="1" applyAlignment="1">
      <alignment horizontal="center"/>
    </xf>
    <xf numFmtId="10" fontId="1" fillId="0" borderId="0" xfId="77" applyNumberFormat="1" applyFont="1" applyBorder="1" applyAlignment="1">
      <alignment horizontal="center"/>
    </xf>
    <xf numFmtId="0" fontId="30" fillId="0" borderId="0" xfId="69"/>
    <xf numFmtId="0" fontId="30" fillId="0" borderId="0" xfId="69" applyBorder="1"/>
    <xf numFmtId="0" fontId="22" fillId="0" borderId="37" xfId="71" applyFont="1" applyBorder="1"/>
    <xf numFmtId="2" fontId="22" fillId="0" borderId="37" xfId="71" applyNumberFormat="1" applyFont="1" applyBorder="1" applyAlignment="1">
      <alignment horizontal="center"/>
    </xf>
    <xf numFmtId="0" fontId="22" fillId="0" borderId="0" xfId="71" applyFont="1" applyBorder="1" applyAlignment="1">
      <alignment horizontal="center"/>
    </xf>
    <xf numFmtId="0" fontId="22" fillId="0" borderId="0" xfId="71" applyFont="1"/>
    <xf numFmtId="0" fontId="1" fillId="0" borderId="0" xfId="71"/>
    <xf numFmtId="0" fontId="22" fillId="0" borderId="38" xfId="71" applyFont="1" applyBorder="1"/>
    <xf numFmtId="2" fontId="22" fillId="0" borderId="38" xfId="71" applyNumberFormat="1" applyFont="1" applyBorder="1" applyAlignment="1">
      <alignment horizontal="center"/>
    </xf>
    <xf numFmtId="2" fontId="22" fillId="0" borderId="0" xfId="71" applyNumberFormat="1" applyFont="1" applyAlignment="1">
      <alignment horizontal="center"/>
    </xf>
    <xf numFmtId="3" fontId="1" fillId="36" borderId="0" xfId="54" applyNumberFormat="1" applyFill="1"/>
    <xf numFmtId="0" fontId="7" fillId="37" borderId="7" xfId="72" applyFont="1" applyFill="1" applyBorder="1"/>
    <xf numFmtId="0" fontId="30" fillId="37" borderId="39" xfId="69" applyFill="1" applyBorder="1"/>
    <xf numFmtId="3" fontId="7" fillId="38" borderId="5" xfId="54" applyNumberFormat="1" applyFont="1" applyFill="1" applyBorder="1" applyAlignment="1">
      <alignment horizontal="center"/>
    </xf>
    <xf numFmtId="2" fontId="30" fillId="37" borderId="0" xfId="74" applyNumberFormat="1" applyFont="1" applyFill="1" applyBorder="1" applyAlignment="1">
      <alignment horizontal="right"/>
    </xf>
    <xf numFmtId="2" fontId="30" fillId="37" borderId="0" xfId="74" applyNumberFormat="1" applyFont="1" applyFill="1" applyBorder="1" applyAlignment="1">
      <alignment horizontal="left"/>
    </xf>
    <xf numFmtId="0" fontId="22" fillId="0" borderId="0" xfId="71" applyFont="1" applyAlignment="1">
      <alignment horizontal="left" wrapText="1"/>
    </xf>
    <xf numFmtId="4" fontId="37" fillId="0" borderId="0" xfId="77" applyNumberFormat="1" applyFont="1" applyFill="1" applyBorder="1" applyAlignment="1">
      <alignment horizontal="center"/>
    </xf>
    <xf numFmtId="4" fontId="1" fillId="0" borderId="0" xfId="77" applyNumberFormat="1" applyFont="1" applyFill="1" applyBorder="1" applyAlignment="1">
      <alignment horizontal="center"/>
    </xf>
    <xf numFmtId="10" fontId="37" fillId="0" borderId="5" xfId="77" applyNumberFormat="1" applyFont="1" applyFill="1" applyBorder="1" applyAlignment="1">
      <alignment horizontal="center"/>
    </xf>
    <xf numFmtId="4" fontId="37" fillId="0" borderId="5" xfId="77" applyNumberFormat="1" applyFont="1" applyFill="1" applyBorder="1" applyAlignment="1">
      <alignment horizontal="center"/>
    </xf>
    <xf numFmtId="4" fontId="1" fillId="0" borderId="5" xfId="77" applyNumberFormat="1" applyFont="1" applyFill="1" applyBorder="1" applyAlignment="1">
      <alignment horizontal="center"/>
    </xf>
    <xf numFmtId="9" fontId="1" fillId="0" borderId="0" xfId="74" applyFont="1" applyBorder="1" applyAlignment="1">
      <alignment horizontal="center"/>
    </xf>
    <xf numFmtId="10" fontId="37" fillId="0" borderId="38" xfId="77" applyNumberFormat="1" applyFont="1" applyBorder="1" applyAlignment="1">
      <alignment horizontal="center"/>
    </xf>
    <xf numFmtId="10" fontId="37" fillId="0" borderId="39" xfId="77" applyNumberFormat="1" applyFont="1" applyBorder="1" applyAlignment="1">
      <alignment horizontal="center"/>
    </xf>
    <xf numFmtId="10" fontId="1" fillId="0" borderId="38" xfId="77" applyNumberFormat="1" applyFont="1" applyBorder="1" applyAlignment="1">
      <alignment horizontal="center"/>
    </xf>
    <xf numFmtId="10" fontId="1" fillId="0" borderId="39" xfId="77" applyNumberFormat="1" applyFont="1" applyBorder="1" applyAlignment="1">
      <alignment horizontal="center"/>
    </xf>
    <xf numFmtId="0" fontId="48" fillId="0" borderId="0" xfId="0" applyFont="1"/>
    <xf numFmtId="3" fontId="55" fillId="0" borderId="0" xfId="54" applyNumberFormat="1" applyFont="1"/>
    <xf numFmtId="0" fontId="56" fillId="0" borderId="0" xfId="69" applyFont="1"/>
    <xf numFmtId="0" fontId="55" fillId="0" borderId="0" xfId="71" applyFont="1"/>
    <xf numFmtId="0" fontId="57" fillId="0" borderId="0" xfId="69" applyFont="1"/>
    <xf numFmtId="0" fontId="38" fillId="0" borderId="0" xfId="0" applyFont="1" applyFill="1"/>
    <xf numFmtId="9" fontId="38" fillId="0" borderId="0" xfId="74" applyFont="1" applyFill="1"/>
    <xf numFmtId="0" fontId="58" fillId="0" borderId="0" xfId="71" applyFont="1"/>
    <xf numFmtId="3" fontId="38" fillId="0" borderId="0" xfId="0" applyNumberFormat="1" applyFont="1" applyFill="1"/>
    <xf numFmtId="172" fontId="57" fillId="0" borderId="0" xfId="69" applyNumberFormat="1" applyFont="1" applyFill="1" applyBorder="1"/>
    <xf numFmtId="0" fontId="58" fillId="0" borderId="0" xfId="54" applyFont="1"/>
    <xf numFmtId="3" fontId="58" fillId="0" borderId="0" xfId="54" applyNumberFormat="1" applyFont="1"/>
    <xf numFmtId="3" fontId="58" fillId="0" borderId="0" xfId="54" applyNumberFormat="1" applyFont="1" applyFill="1" applyBorder="1"/>
    <xf numFmtId="3" fontId="58" fillId="0" borderId="0" xfId="54" applyNumberFormat="1" applyFont="1" applyFill="1"/>
    <xf numFmtId="0" fontId="57" fillId="0" borderId="0" xfId="69" applyFont="1" applyFill="1" applyBorder="1"/>
    <xf numFmtId="3" fontId="7" fillId="0" borderId="0" xfId="54" applyNumberFormat="1" applyFont="1" applyFill="1"/>
    <xf numFmtId="3" fontId="1" fillId="0" borderId="0" xfId="54" applyNumberFormat="1" applyFont="1" applyFill="1"/>
    <xf numFmtId="3" fontId="1" fillId="0" borderId="0" xfId="54" applyNumberFormat="1" applyFill="1"/>
    <xf numFmtId="3" fontId="1" fillId="0" borderId="20" xfId="54" applyNumberFormat="1" applyFill="1" applyBorder="1"/>
    <xf numFmtId="3" fontId="21" fillId="0" borderId="0" xfId="54" applyNumberFormat="1" applyFont="1" applyFill="1" applyBorder="1"/>
    <xf numFmtId="3" fontId="11" fillId="0" borderId="19" xfId="54" applyNumberFormat="1" applyFont="1" applyFill="1" applyBorder="1"/>
    <xf numFmtId="3" fontId="11" fillId="0" borderId="20" xfId="54" applyNumberFormat="1" applyFont="1" applyFill="1" applyBorder="1"/>
    <xf numFmtId="0" fontId="1" fillId="0" borderId="11" xfId="54" applyFill="1" applyBorder="1"/>
    <xf numFmtId="0" fontId="1" fillId="0" borderId="40" xfId="54" applyFill="1" applyBorder="1"/>
    <xf numFmtId="0" fontId="1" fillId="0" borderId="39" xfId="54" applyFill="1" applyBorder="1"/>
    <xf numFmtId="0" fontId="1" fillId="0" borderId="41" xfId="54" applyFill="1" applyBorder="1"/>
    <xf numFmtId="0" fontId="1" fillId="0" borderId="0" xfId="54" applyFill="1"/>
    <xf numFmtId="0" fontId="7" fillId="0" borderId="13" xfId="54" applyFont="1" applyBorder="1" applyAlignment="1">
      <alignment vertical="top"/>
    </xf>
    <xf numFmtId="0" fontId="55" fillId="0" borderId="40" xfId="54" applyFont="1" applyFill="1" applyBorder="1"/>
    <xf numFmtId="0" fontId="55" fillId="0" borderId="42" xfId="54" applyFont="1" applyFill="1" applyBorder="1"/>
    <xf numFmtId="0" fontId="55" fillId="0" borderId="43" xfId="54" applyFont="1" applyFill="1" applyBorder="1"/>
    <xf numFmtId="0" fontId="1" fillId="39" borderId="40" xfId="54" applyFill="1" applyBorder="1"/>
    <xf numFmtId="4" fontId="10" fillId="0" borderId="0" xfId="54" applyNumberFormat="1" applyFont="1" applyFill="1" applyAlignment="1">
      <alignment horizontal="right"/>
    </xf>
    <xf numFmtId="3" fontId="1" fillId="0" borderId="0" xfId="54" applyNumberFormat="1" applyFill="1" applyBorder="1"/>
    <xf numFmtId="4" fontId="10" fillId="0" borderId="0" xfId="54" applyNumberFormat="1" applyFont="1" applyFill="1" applyBorder="1" applyAlignment="1">
      <alignment horizontal="right"/>
    </xf>
    <xf numFmtId="4" fontId="15" fillId="0" borderId="0" xfId="54" applyNumberFormat="1" applyFont="1" applyFill="1" applyBorder="1" applyAlignment="1"/>
    <xf numFmtId="0" fontId="8" fillId="0" borderId="0" xfId="54" applyFont="1" applyFill="1" applyBorder="1" applyAlignment="1">
      <alignment horizontal="left"/>
    </xf>
    <xf numFmtId="4" fontId="7" fillId="0" borderId="24" xfId="54" applyNumberFormat="1" applyFont="1" applyBorder="1"/>
    <xf numFmtId="4" fontId="1" fillId="0" borderId="24" xfId="54" applyNumberFormat="1" applyFont="1" applyBorder="1" applyAlignment="1"/>
    <xf numFmtId="4" fontId="7" fillId="0" borderId="24" xfId="54" applyNumberFormat="1" applyFont="1" applyBorder="1" applyAlignment="1"/>
    <xf numFmtId="4" fontId="1" fillId="0" borderId="44" xfId="54" applyNumberFormat="1" applyBorder="1"/>
    <xf numFmtId="4" fontId="7" fillId="0" borderId="21" xfId="54" applyNumberFormat="1" applyFont="1" applyBorder="1" applyAlignment="1"/>
    <xf numFmtId="4" fontId="11" fillId="0" borderId="17" xfId="54" applyNumberFormat="1" applyFont="1" applyBorder="1" applyAlignment="1"/>
    <xf numFmtId="0" fontId="11" fillId="0" borderId="0" xfId="54" applyFont="1" applyFill="1" applyBorder="1" applyAlignment="1">
      <alignment horizontal="center" wrapText="1"/>
    </xf>
    <xf numFmtId="9" fontId="11" fillId="0" borderId="0" xfId="74" applyFont="1" applyFill="1" applyBorder="1" applyAlignment="1">
      <alignment horizontal="center"/>
    </xf>
    <xf numFmtId="9" fontId="7" fillId="0" borderId="0" xfId="74" applyFont="1" applyFill="1" applyBorder="1" applyAlignment="1">
      <alignment horizontal="center"/>
    </xf>
    <xf numFmtId="9" fontId="1" fillId="0" borderId="0" xfId="74" applyFont="1" applyFill="1" applyBorder="1" applyAlignment="1">
      <alignment horizontal="center"/>
    </xf>
    <xf numFmtId="4" fontId="12" fillId="0" borderId="0" xfId="54" applyNumberFormat="1" applyFont="1" applyFill="1" applyBorder="1"/>
    <xf numFmtId="0" fontId="2" fillId="0" borderId="0" xfId="54" applyFont="1" applyFill="1" applyBorder="1" applyAlignment="1" applyProtection="1">
      <alignment vertical="top" wrapText="1"/>
      <protection locked="0"/>
    </xf>
    <xf numFmtId="0" fontId="5" fillId="0" borderId="0" xfId="54" applyFont="1" applyFill="1" applyBorder="1" applyAlignment="1" applyProtection="1">
      <alignment vertical="top" wrapText="1"/>
      <protection locked="0"/>
    </xf>
    <xf numFmtId="0" fontId="3" fillId="0" borderId="0" xfId="54" applyFont="1" applyFill="1" applyBorder="1" applyAlignment="1" applyProtection="1">
      <alignment vertical="top" wrapText="1"/>
      <protection locked="0"/>
    </xf>
    <xf numFmtId="167" fontId="12" fillId="0" borderId="45" xfId="54" applyNumberFormat="1" applyFont="1" applyFill="1" applyBorder="1" applyAlignment="1"/>
    <xf numFmtId="0" fontId="11" fillId="0" borderId="45" xfId="54" applyFont="1" applyFill="1" applyBorder="1"/>
    <xf numFmtId="9" fontId="7" fillId="0" borderId="45" xfId="74" applyFont="1" applyFill="1" applyBorder="1" applyAlignment="1">
      <alignment horizontal="center"/>
    </xf>
    <xf numFmtId="9" fontId="15" fillId="0" borderId="45" xfId="74" applyFont="1" applyFill="1" applyBorder="1" applyAlignment="1">
      <alignment horizontal="center"/>
    </xf>
    <xf numFmtId="9" fontId="12" fillId="0" borderId="45" xfId="74" applyFont="1" applyFill="1" applyBorder="1" applyAlignment="1">
      <alignment horizontal="center"/>
    </xf>
    <xf numFmtId="0" fontId="11" fillId="0" borderId="21" xfId="54" applyFont="1" applyBorder="1"/>
    <xf numFmtId="10" fontId="37" fillId="40" borderId="5" xfId="77" applyNumberFormat="1" applyFont="1" applyFill="1" applyBorder="1" applyAlignment="1">
      <alignment horizontal="center"/>
    </xf>
    <xf numFmtId="0" fontId="0" fillId="0" borderId="0" xfId="0" applyFill="1"/>
    <xf numFmtId="0" fontId="1" fillId="0" borderId="0" xfId="61" applyFont="1" applyFill="1"/>
    <xf numFmtId="0" fontId="20" fillId="0" borderId="9" xfId="54" applyFont="1" applyBorder="1" applyAlignment="1">
      <alignment horizontal="center"/>
    </xf>
    <xf numFmtId="0" fontId="20" fillId="0" borderId="10" xfId="54" applyFont="1" applyBorder="1" applyAlignment="1">
      <alignment horizontal="center"/>
    </xf>
    <xf numFmtId="166" fontId="32" fillId="0" borderId="10" xfId="54" applyNumberFormat="1" applyFont="1" applyBorder="1"/>
    <xf numFmtId="0" fontId="20" fillId="2" borderId="10" xfId="54" applyFont="1" applyFill="1" applyBorder="1" applyAlignment="1">
      <alignment horizontal="center" wrapText="1"/>
    </xf>
    <xf numFmtId="4" fontId="20" fillId="2" borderId="10" xfId="54" applyNumberFormat="1" applyFont="1" applyFill="1" applyBorder="1" applyAlignment="1">
      <alignment horizontal="center" wrapText="1"/>
    </xf>
    <xf numFmtId="166" fontId="32" fillId="0" borderId="11" xfId="54" applyNumberFormat="1" applyFont="1" applyBorder="1"/>
    <xf numFmtId="0" fontId="20" fillId="0" borderId="0" xfId="54" applyFont="1" applyFill="1" applyBorder="1" applyAlignment="1">
      <alignment horizontal="center" wrapText="1"/>
    </xf>
    <xf numFmtId="166" fontId="32" fillId="0" borderId="0" xfId="54" applyNumberFormat="1" applyFont="1"/>
    <xf numFmtId="14" fontId="11" fillId="0" borderId="20" xfId="54" applyNumberFormat="1" applyFont="1" applyBorder="1" applyAlignment="1">
      <alignment horizontal="center"/>
    </xf>
    <xf numFmtId="3" fontId="1" fillId="38" borderId="19" xfId="54" applyNumberFormat="1" applyFill="1" applyBorder="1"/>
    <xf numFmtId="3" fontId="1" fillId="38" borderId="20" xfId="54" applyNumberFormat="1" applyFill="1" applyBorder="1"/>
    <xf numFmtId="3" fontId="11" fillId="38" borderId="20" xfId="54" applyNumberFormat="1" applyFont="1" applyFill="1" applyBorder="1" applyAlignment="1">
      <alignment horizontal="center"/>
    </xf>
    <xf numFmtId="14" fontId="11" fillId="38" borderId="34" xfId="54" applyNumberFormat="1" applyFont="1" applyFill="1" applyBorder="1" applyAlignment="1">
      <alignment horizontal="center"/>
    </xf>
    <xf numFmtId="3" fontId="20" fillId="41" borderId="19" xfId="54" applyNumberFormat="1" applyFont="1" applyFill="1" applyBorder="1"/>
    <xf numFmtId="3" fontId="20" fillId="41" borderId="20" xfId="54" applyNumberFormat="1" applyFont="1" applyFill="1" applyBorder="1"/>
    <xf numFmtId="3" fontId="1" fillId="41" borderId="20" xfId="54" applyNumberFormat="1" applyFill="1" applyBorder="1"/>
    <xf numFmtId="3" fontId="1" fillId="41" borderId="34" xfId="54" applyNumberFormat="1" applyFill="1" applyBorder="1"/>
    <xf numFmtId="3" fontId="11" fillId="41" borderId="19" xfId="54" applyNumberFormat="1" applyFont="1" applyFill="1" applyBorder="1" applyAlignment="1"/>
    <xf numFmtId="3" fontId="11" fillId="41" borderId="20" xfId="54" applyNumberFormat="1" applyFont="1" applyFill="1" applyBorder="1" applyAlignment="1"/>
    <xf numFmtId="4" fontId="1" fillId="41" borderId="20" xfId="54" applyNumberFormat="1" applyFill="1" applyBorder="1"/>
    <xf numFmtId="4" fontId="1" fillId="41" borderId="34" xfId="54" applyNumberFormat="1" applyFill="1" applyBorder="1"/>
    <xf numFmtId="3" fontId="1" fillId="41" borderId="46" xfId="54" applyNumberFormat="1" applyFill="1" applyBorder="1"/>
    <xf numFmtId="0" fontId="11" fillId="0" borderId="45" xfId="54" applyFont="1" applyFill="1" applyBorder="1" applyAlignment="1">
      <alignment horizontal="center" vertical="center" wrapText="1"/>
    </xf>
    <xf numFmtId="49" fontId="4" fillId="0" borderId="5" xfId="54" applyNumberFormat="1" applyFont="1" applyBorder="1" applyAlignment="1" applyProtection="1">
      <alignment horizontal="center" vertical="top" wrapText="1"/>
      <protection locked="0"/>
    </xf>
    <xf numFmtId="49" fontId="4" fillId="0" borderId="47" xfId="54" applyNumberFormat="1" applyFont="1" applyBorder="1" applyAlignment="1" applyProtection="1">
      <alignment horizontal="center" vertical="top" wrapText="1"/>
      <protection locked="0"/>
    </xf>
    <xf numFmtId="4" fontId="2" fillId="0" borderId="48" xfId="54" applyNumberFormat="1" applyFont="1" applyBorder="1" applyAlignment="1" applyProtection="1">
      <alignment horizontal="left" vertical="top" wrapText="1"/>
      <protection locked="0"/>
    </xf>
    <xf numFmtId="0" fontId="3" fillId="0" borderId="50" xfId="54" applyFont="1" applyBorder="1" applyAlignment="1" applyProtection="1">
      <alignment horizontal="left" vertical="top" wrapText="1"/>
      <protection locked="0"/>
    </xf>
    <xf numFmtId="0" fontId="3" fillId="0" borderId="51" xfId="54" applyFont="1" applyBorder="1" applyAlignment="1" applyProtection="1">
      <alignment horizontal="left" vertical="top" wrapText="1"/>
      <protection locked="0"/>
    </xf>
    <xf numFmtId="14" fontId="2" fillId="0" borderId="38" xfId="54" applyNumberFormat="1" applyFont="1" applyBorder="1" applyAlignment="1" applyProtection="1">
      <alignment horizontal="left" vertical="top" wrapText="1"/>
      <protection locked="0"/>
    </xf>
    <xf numFmtId="0" fontId="20" fillId="42" borderId="35" xfId="54" applyFont="1" applyFill="1" applyBorder="1" applyAlignment="1">
      <alignment vertical="center" wrapText="1"/>
    </xf>
    <xf numFmtId="1" fontId="11" fillId="42" borderId="35" xfId="54" applyNumberFormat="1" applyFont="1" applyFill="1" applyBorder="1" applyAlignment="1">
      <alignment horizontal="center" vertical="center" wrapText="1"/>
    </xf>
    <xf numFmtId="0" fontId="11" fillId="42" borderId="35" xfId="54" applyFont="1" applyFill="1" applyBorder="1" applyAlignment="1">
      <alignment horizontal="center" vertical="center" wrapText="1"/>
    </xf>
    <xf numFmtId="0" fontId="11" fillId="42" borderId="31" xfId="54" applyFont="1" applyFill="1" applyBorder="1" applyAlignment="1">
      <alignment horizontal="center" vertical="center" wrapText="1"/>
    </xf>
    <xf numFmtId="1" fontId="11" fillId="42" borderId="42" xfId="54" applyNumberFormat="1" applyFont="1" applyFill="1" applyBorder="1" applyAlignment="1">
      <alignment horizontal="center" vertical="center" wrapText="1"/>
    </xf>
    <xf numFmtId="0" fontId="20" fillId="42" borderId="35" xfId="54" applyFont="1" applyFill="1" applyBorder="1" applyAlignment="1">
      <alignment horizontal="center" vertical="center" wrapText="1"/>
    </xf>
    <xf numFmtId="0" fontId="20" fillId="42" borderId="31" xfId="54" applyFont="1" applyFill="1" applyBorder="1" applyAlignment="1">
      <alignment horizontal="center" vertical="center" wrapText="1"/>
    </xf>
    <xf numFmtId="0" fontId="11" fillId="43" borderId="42" xfId="54" applyFont="1" applyFill="1" applyBorder="1" applyAlignment="1">
      <alignment horizontal="center" vertical="top"/>
    </xf>
    <xf numFmtId="0" fontId="11" fillId="43" borderId="52" xfId="54" applyFont="1" applyFill="1" applyBorder="1" applyAlignment="1">
      <alignment horizontal="center" vertical="top"/>
    </xf>
    <xf numFmtId="14" fontId="7" fillId="43" borderId="35" xfId="54" applyNumberFormat="1" applyFont="1" applyFill="1" applyBorder="1" applyAlignment="1">
      <alignment horizontal="center" vertical="center"/>
    </xf>
    <xf numFmtId="167" fontId="12" fillId="43" borderId="35" xfId="54" applyNumberFormat="1" applyFont="1" applyFill="1" applyBorder="1" applyAlignment="1"/>
    <xf numFmtId="167" fontId="12" fillId="43" borderId="42" xfId="54" applyNumberFormat="1" applyFont="1" applyFill="1" applyBorder="1" applyAlignment="1"/>
    <xf numFmtId="0" fontId="1" fillId="43" borderId="24" xfId="54" applyFill="1" applyBorder="1"/>
    <xf numFmtId="0" fontId="11" fillId="43" borderId="22" xfId="54" applyFont="1" applyFill="1" applyBorder="1" applyAlignment="1">
      <alignment vertical="top"/>
    </xf>
    <xf numFmtId="0" fontId="12" fillId="43" borderId="0" xfId="54" applyFont="1" applyFill="1" applyBorder="1"/>
    <xf numFmtId="0" fontId="12" fillId="43" borderId="23" xfId="54" applyFont="1" applyFill="1" applyBorder="1"/>
    <xf numFmtId="167" fontId="12" fillId="43" borderId="13" xfId="54" applyNumberFormat="1" applyFont="1" applyFill="1" applyBorder="1" applyAlignment="1"/>
    <xf numFmtId="0" fontId="11" fillId="42" borderId="53" xfId="54" applyFont="1" applyFill="1" applyBorder="1" applyAlignment="1">
      <alignment horizontal="center" vertical="center" wrapText="1"/>
    </xf>
    <xf numFmtId="0" fontId="11" fillId="42" borderId="14" xfId="54" applyFont="1" applyFill="1" applyBorder="1" applyAlignment="1">
      <alignment horizontal="center" vertical="center" wrapText="1"/>
    </xf>
    <xf numFmtId="0" fontId="11" fillId="42" borderId="19" xfId="54" applyFont="1" applyFill="1" applyBorder="1" applyAlignment="1">
      <alignment horizontal="center" vertical="center" wrapText="1"/>
    </xf>
    <xf numFmtId="0" fontId="11" fillId="42" borderId="54" xfId="54" applyFont="1" applyFill="1" applyBorder="1" applyAlignment="1">
      <alignment horizontal="center" vertical="center" wrapText="1"/>
    </xf>
    <xf numFmtId="1" fontId="20" fillId="42" borderId="42" xfId="54" applyNumberFormat="1" applyFont="1" applyFill="1" applyBorder="1" applyAlignment="1">
      <alignment horizontal="center" vertical="center" wrapText="1"/>
    </xf>
    <xf numFmtId="4" fontId="11" fillId="43" borderId="16" xfId="54" applyNumberFormat="1" applyFont="1" applyFill="1" applyBorder="1" applyAlignment="1"/>
    <xf numFmtId="4" fontId="11" fillId="43" borderId="5" xfId="54" applyNumberFormat="1" applyFont="1" applyFill="1" applyBorder="1" applyAlignment="1"/>
    <xf numFmtId="4" fontId="11" fillId="43" borderId="40" xfId="54" applyNumberFormat="1" applyFont="1" applyFill="1" applyBorder="1" applyAlignment="1"/>
    <xf numFmtId="4" fontId="12" fillId="43" borderId="5" xfId="54" applyNumberFormat="1" applyFont="1" applyFill="1" applyBorder="1"/>
    <xf numFmtId="4" fontId="12" fillId="43" borderId="32" xfId="54" applyNumberFormat="1" applyFont="1" applyFill="1" applyBorder="1"/>
    <xf numFmtId="4" fontId="11" fillId="43" borderId="5" xfId="54" applyNumberFormat="1" applyFont="1" applyFill="1" applyBorder="1"/>
    <xf numFmtId="4" fontId="12" fillId="43" borderId="40" xfId="54" applyNumberFormat="1" applyFont="1" applyFill="1" applyBorder="1"/>
    <xf numFmtId="9" fontId="12" fillId="43" borderId="32" xfId="74" applyFont="1" applyFill="1" applyBorder="1" applyAlignment="1">
      <alignment horizontal="center"/>
    </xf>
    <xf numFmtId="4" fontId="11" fillId="43" borderId="40" xfId="54" applyNumberFormat="1" applyFont="1" applyFill="1" applyBorder="1"/>
    <xf numFmtId="9" fontId="15" fillId="0" borderId="15" xfId="74" applyFont="1" applyBorder="1" applyAlignment="1">
      <alignment horizontal="center"/>
    </xf>
    <xf numFmtId="9" fontId="48" fillId="0" borderId="0" xfId="0" applyNumberFormat="1" applyFont="1"/>
    <xf numFmtId="173" fontId="11" fillId="43" borderId="5" xfId="74" applyNumberFormat="1" applyFont="1" applyFill="1" applyBorder="1" applyAlignment="1">
      <alignment horizontal="center"/>
    </xf>
    <xf numFmtId="173" fontId="7" fillId="0" borderId="12" xfId="74" applyNumberFormat="1" applyFont="1" applyBorder="1" applyAlignment="1">
      <alignment horizontal="center"/>
    </xf>
    <xf numFmtId="173" fontId="1" fillId="0" borderId="13" xfId="74" applyNumberFormat="1" applyFont="1" applyBorder="1" applyAlignment="1">
      <alignment horizontal="center"/>
    </xf>
    <xf numFmtId="173" fontId="1" fillId="0" borderId="13" xfId="74" applyNumberFormat="1" applyFont="1" applyFill="1" applyBorder="1" applyAlignment="1">
      <alignment horizontal="center"/>
    </xf>
    <xf numFmtId="173" fontId="7" fillId="0" borderId="13" xfId="74" applyNumberFormat="1" applyFont="1" applyBorder="1" applyAlignment="1">
      <alignment horizontal="center"/>
    </xf>
    <xf numFmtId="173" fontId="11" fillId="0" borderId="14" xfId="74" applyNumberFormat="1" applyFont="1" applyBorder="1" applyAlignment="1">
      <alignment horizontal="center"/>
    </xf>
    <xf numFmtId="173" fontId="1" fillId="0" borderId="16" xfId="74" applyNumberFormat="1" applyFont="1" applyBorder="1" applyAlignment="1">
      <alignment horizontal="center"/>
    </xf>
    <xf numFmtId="173" fontId="11" fillId="43" borderId="32" xfId="74" applyNumberFormat="1" applyFont="1" applyFill="1" applyBorder="1" applyAlignment="1">
      <alignment horizontal="center"/>
    </xf>
    <xf numFmtId="173" fontId="7" fillId="0" borderId="55" xfId="74" applyNumberFormat="1" applyFont="1" applyBorder="1" applyAlignment="1">
      <alignment horizontal="center"/>
    </xf>
    <xf numFmtId="173" fontId="1" fillId="0" borderId="55" xfId="74" applyNumberFormat="1" applyFont="1" applyBorder="1" applyAlignment="1">
      <alignment horizontal="center"/>
    </xf>
    <xf numFmtId="173" fontId="1" fillId="0" borderId="46" xfId="74" applyNumberFormat="1" applyFont="1" applyBorder="1" applyAlignment="1">
      <alignment horizontal="center"/>
    </xf>
    <xf numFmtId="173" fontId="7" fillId="0" borderId="56" xfId="74" applyNumberFormat="1" applyFont="1" applyBorder="1" applyAlignment="1">
      <alignment horizontal="center"/>
    </xf>
    <xf numFmtId="173" fontId="11" fillId="0" borderId="54" xfId="74" applyNumberFormat="1" applyFont="1" applyBorder="1" applyAlignment="1">
      <alignment horizontal="center"/>
    </xf>
    <xf numFmtId="0" fontId="59" fillId="0" borderId="0" xfId="54" applyFont="1" applyBorder="1" applyAlignment="1">
      <alignment horizontal="right" vertical="center"/>
    </xf>
    <xf numFmtId="4" fontId="59" fillId="0" borderId="0" xfId="54" applyNumberFormat="1" applyFont="1" applyBorder="1" applyAlignment="1">
      <alignment horizontal="right" vertical="center"/>
    </xf>
    <xf numFmtId="173" fontId="12" fillId="43" borderId="35" xfId="54" applyNumberFormat="1" applyFont="1" applyFill="1" applyBorder="1" applyAlignment="1"/>
    <xf numFmtId="173" fontId="11" fillId="0" borderId="12" xfId="54" applyNumberFormat="1" applyFont="1" applyBorder="1"/>
    <xf numFmtId="173" fontId="7" fillId="0" borderId="13" xfId="74" applyNumberFormat="1" applyFont="1" applyFill="1" applyBorder="1" applyAlignment="1">
      <alignment horizontal="center"/>
    </xf>
    <xf numFmtId="173" fontId="15" fillId="0" borderId="13" xfId="74" applyNumberFormat="1" applyFont="1" applyBorder="1" applyAlignment="1">
      <alignment horizontal="center"/>
    </xf>
    <xf numFmtId="173" fontId="15" fillId="0" borderId="13" xfId="74" applyNumberFormat="1" applyFont="1" applyFill="1" applyBorder="1" applyAlignment="1">
      <alignment horizontal="center"/>
    </xf>
    <xf numFmtId="173" fontId="7" fillId="3" borderId="13" xfId="74" applyNumberFormat="1" applyFont="1" applyFill="1" applyBorder="1" applyAlignment="1">
      <alignment horizontal="center"/>
    </xf>
    <xf numFmtId="173" fontId="7" fillId="4" borderId="13" xfId="74" applyNumberFormat="1" applyFont="1" applyFill="1" applyBorder="1" applyAlignment="1">
      <alignment horizontal="center"/>
    </xf>
    <xf numFmtId="173" fontId="12" fillId="43" borderId="13" xfId="74" applyNumberFormat="1" applyFont="1" applyFill="1" applyBorder="1" applyAlignment="1">
      <alignment horizontal="center"/>
    </xf>
    <xf numFmtId="173" fontId="7" fillId="4" borderId="18" xfId="74" applyNumberFormat="1" applyFont="1" applyFill="1" applyBorder="1" applyAlignment="1">
      <alignment horizontal="center"/>
    </xf>
    <xf numFmtId="173" fontId="12" fillId="43" borderId="52" xfId="54" applyNumberFormat="1" applyFont="1" applyFill="1" applyBorder="1" applyAlignment="1"/>
    <xf numFmtId="173" fontId="11" fillId="0" borderId="57" xfId="54" applyNumberFormat="1" applyFont="1" applyBorder="1"/>
    <xf numFmtId="173" fontId="7" fillId="0" borderId="22" xfId="74" applyNumberFormat="1" applyFont="1" applyFill="1" applyBorder="1" applyAlignment="1">
      <alignment horizontal="center"/>
    </xf>
    <xf numFmtId="173" fontId="15" fillId="0" borderId="22" xfId="74" applyNumberFormat="1" applyFont="1" applyBorder="1" applyAlignment="1">
      <alignment horizontal="center"/>
    </xf>
    <xf numFmtId="173" fontId="7" fillId="0" borderId="22" xfId="74" applyNumberFormat="1" applyFont="1" applyBorder="1" applyAlignment="1">
      <alignment horizontal="center"/>
    </xf>
    <xf numFmtId="173" fontId="15" fillId="0" borderId="22" xfId="74" applyNumberFormat="1" applyFont="1" applyFill="1" applyBorder="1" applyAlignment="1">
      <alignment horizontal="center"/>
    </xf>
    <xf numFmtId="173" fontId="7" fillId="3" borderId="22" xfId="74" applyNumberFormat="1" applyFont="1" applyFill="1" applyBorder="1" applyAlignment="1">
      <alignment horizontal="center"/>
    </xf>
    <xf numFmtId="173" fontId="7" fillId="4" borderId="22" xfId="74" applyNumberFormat="1" applyFont="1" applyFill="1" applyBorder="1" applyAlignment="1">
      <alignment horizontal="center"/>
    </xf>
    <xf numFmtId="173" fontId="12" fillId="43" borderId="22" xfId="74" applyNumberFormat="1" applyFont="1" applyFill="1" applyBorder="1" applyAlignment="1">
      <alignment horizontal="center"/>
    </xf>
    <xf numFmtId="173" fontId="7" fillId="4" borderId="26" xfId="74" applyNumberFormat="1" applyFont="1" applyFill="1" applyBorder="1" applyAlignment="1">
      <alignment horizontal="center"/>
    </xf>
    <xf numFmtId="173" fontId="12" fillId="43" borderId="31" xfId="54" applyNumberFormat="1" applyFont="1" applyFill="1" applyBorder="1" applyAlignment="1"/>
    <xf numFmtId="0" fontId="38" fillId="0" borderId="0" xfId="0" applyFont="1"/>
    <xf numFmtId="3" fontId="7" fillId="0" borderId="0" xfId="54" applyNumberFormat="1" applyFont="1" applyFill="1" applyBorder="1" applyAlignment="1">
      <alignment horizontal="center"/>
    </xf>
    <xf numFmtId="9" fontId="30" fillId="37" borderId="0" xfId="74" applyFont="1" applyFill="1" applyBorder="1" applyAlignment="1">
      <alignment horizontal="right"/>
    </xf>
    <xf numFmtId="9" fontId="30" fillId="37" borderId="0" xfId="74" applyFont="1" applyFill="1" applyBorder="1" applyAlignment="1">
      <alignment horizontal="left"/>
    </xf>
    <xf numFmtId="0" fontId="3" fillId="0" borderId="58" xfId="54" applyFont="1" applyBorder="1" applyAlignment="1" applyProtection="1">
      <alignment vertical="top" wrapText="1"/>
      <protection locked="0"/>
    </xf>
    <xf numFmtId="0" fontId="3" fillId="0" borderId="59" xfId="54" applyFont="1" applyBorder="1" applyAlignment="1" applyProtection="1">
      <alignment vertical="top" wrapText="1"/>
      <protection locked="0"/>
    </xf>
    <xf numFmtId="3" fontId="1" fillId="0" borderId="5" xfId="54" applyNumberFormat="1" applyFill="1" applyBorder="1"/>
    <xf numFmtId="0" fontId="60" fillId="0" borderId="0" xfId="54" applyFont="1" applyAlignment="1"/>
    <xf numFmtId="0" fontId="10" fillId="0" borderId="0" xfId="54" applyFont="1" applyBorder="1"/>
    <xf numFmtId="0" fontId="0" fillId="0" borderId="0" xfId="0"/>
    <xf numFmtId="0" fontId="10" fillId="0" borderId="0" xfId="54" applyFont="1" applyFill="1" applyBorder="1"/>
    <xf numFmtId="4" fontId="10" fillId="0" borderId="0" xfId="54" applyNumberFormat="1" applyFont="1" applyBorder="1"/>
    <xf numFmtId="0" fontId="61" fillId="0" borderId="0" xfId="54" applyFont="1" applyAlignment="1"/>
    <xf numFmtId="0" fontId="0" fillId="0" borderId="0" xfId="0"/>
    <xf numFmtId="4" fontId="1" fillId="0" borderId="0" xfId="54" applyNumberFormat="1" applyBorder="1"/>
    <xf numFmtId="0" fontId="0" fillId="0" borderId="0" xfId="0"/>
    <xf numFmtId="4" fontId="4" fillId="0" borderId="5" xfId="54" applyNumberFormat="1" applyFont="1" applyBorder="1" applyAlignment="1" applyProtection="1">
      <alignment horizontal="center" vertical="top" wrapText="1"/>
      <protection locked="0"/>
    </xf>
    <xf numFmtId="4" fontId="4" fillId="0" borderId="47" xfId="54" applyNumberFormat="1" applyFont="1" applyBorder="1" applyAlignment="1" applyProtection="1">
      <alignment horizontal="center" vertical="top" wrapText="1"/>
      <protection locked="0"/>
    </xf>
    <xf numFmtId="4" fontId="7" fillId="0" borderId="0" xfId="54" applyNumberFormat="1" applyFont="1" applyBorder="1" applyAlignment="1">
      <alignment horizontal="center"/>
    </xf>
    <xf numFmtId="0" fontId="8" fillId="0" borderId="0" xfId="54" applyFont="1"/>
    <xf numFmtId="0" fontId="4" fillId="0" borderId="0" xfId="54" applyFont="1"/>
    <xf numFmtId="0" fontId="3" fillId="0" borderId="0" xfId="54" applyFont="1" applyAlignment="1">
      <alignment horizontal="left" wrapText="1"/>
    </xf>
    <xf numFmtId="0" fontId="3" fillId="0" borderId="0" xfId="54" applyFont="1" applyAlignment="1">
      <alignment wrapText="1"/>
    </xf>
    <xf numFmtId="4" fontId="3" fillId="0" borderId="0" xfId="54" applyNumberFormat="1" applyFont="1" applyAlignment="1">
      <alignment wrapText="1"/>
    </xf>
    <xf numFmtId="0" fontId="4" fillId="0" borderId="0" xfId="54" applyFont="1" applyAlignment="1">
      <alignment horizontal="justify"/>
    </xf>
    <xf numFmtId="0" fontId="3" fillId="0" borderId="0" xfId="54" applyFont="1"/>
    <xf numFmtId="0" fontId="4" fillId="0" borderId="0" xfId="54" applyFont="1" applyAlignment="1"/>
    <xf numFmtId="4" fontId="4" fillId="0" borderId="0" xfId="54" applyNumberFormat="1" applyFont="1" applyAlignment="1"/>
    <xf numFmtId="0" fontId="3" fillId="0" borderId="0" xfId="54" applyFont="1" applyAlignment="1">
      <alignment horizontal="justify"/>
    </xf>
    <xf numFmtId="4" fontId="34" fillId="0" borderId="0" xfId="54" applyNumberFormat="1" applyFont="1" applyAlignment="1">
      <alignment horizontal="left"/>
    </xf>
    <xf numFmtId="4" fontId="34" fillId="0" borderId="5" xfId="54" applyNumberFormat="1" applyFont="1" applyBorder="1" applyAlignment="1">
      <alignment horizontal="left"/>
    </xf>
    <xf numFmtId="0" fontId="34" fillId="0" borderId="5" xfId="54" applyFont="1" applyBorder="1" applyAlignment="1">
      <alignment horizontal="left"/>
    </xf>
    <xf numFmtId="0" fontId="34" fillId="0" borderId="0" xfId="54" applyFont="1" applyAlignment="1">
      <alignment horizontal="justify"/>
    </xf>
    <xf numFmtId="4" fontId="37" fillId="0" borderId="5" xfId="77" applyNumberFormat="1" applyFont="1" applyBorder="1"/>
    <xf numFmtId="4" fontId="1" fillId="0" borderId="5" xfId="54" applyNumberFormat="1" applyBorder="1"/>
    <xf numFmtId="4" fontId="37" fillId="0" borderId="0" xfId="77" applyNumberFormat="1" applyFont="1"/>
    <xf numFmtId="4" fontId="37" fillId="0" borderId="5" xfId="77" applyNumberFormat="1" applyFont="1" applyFill="1" applyBorder="1"/>
    <xf numFmtId="0" fontId="4" fillId="0" borderId="0" xfId="54" applyFont="1" applyAlignment="1">
      <alignment horizontal="left"/>
    </xf>
    <xf numFmtId="4" fontId="4" fillId="0" borderId="0" xfId="54" applyNumberFormat="1" applyFont="1" applyAlignment="1">
      <alignment horizontal="left"/>
    </xf>
    <xf numFmtId="4" fontId="7" fillId="0" borderId="0" xfId="54" applyNumberFormat="1" applyFont="1"/>
    <xf numFmtId="0" fontId="1" fillId="0" borderId="0" xfId="54" applyAlignment="1">
      <alignment wrapText="1"/>
    </xf>
    <xf numFmtId="4" fontId="1" fillId="0" borderId="0" xfId="54" applyNumberFormat="1" applyAlignment="1">
      <alignment wrapText="1"/>
    </xf>
    <xf numFmtId="0" fontId="1" fillId="0" borderId="38" xfId="54" applyBorder="1"/>
    <xf numFmtId="4" fontId="1" fillId="0" borderId="38" xfId="54" applyNumberFormat="1" applyBorder="1"/>
    <xf numFmtId="0" fontId="1" fillId="0" borderId="38" xfId="54" applyFont="1" applyBorder="1"/>
    <xf numFmtId="0" fontId="1" fillId="0" borderId="60" xfId="54" applyBorder="1"/>
    <xf numFmtId="4" fontId="1" fillId="0" borderId="60" xfId="54" applyNumberFormat="1" applyBorder="1"/>
    <xf numFmtId="4" fontId="35" fillId="0" borderId="5" xfId="54" applyNumberFormat="1" applyFont="1" applyBorder="1" applyAlignment="1">
      <alignment horizontal="center"/>
    </xf>
    <xf numFmtId="4" fontId="7" fillId="0" borderId="5" xfId="54" applyNumberFormat="1" applyFont="1" applyBorder="1" applyAlignment="1">
      <alignment horizontal="center"/>
    </xf>
    <xf numFmtId="0" fontId="62" fillId="0" borderId="0" xfId="54" applyFont="1" applyAlignment="1"/>
    <xf numFmtId="0" fontId="62" fillId="0" borderId="0" xfId="54" applyFont="1" applyAlignment="1"/>
    <xf numFmtId="10" fontId="55" fillId="0" borderId="5" xfId="54" applyNumberFormat="1" applyFont="1" applyFill="1" applyBorder="1"/>
    <xf numFmtId="0" fontId="63" fillId="0" borderId="0" xfId="54" applyFont="1" applyFill="1" applyBorder="1" applyAlignment="1">
      <alignment horizontal="left"/>
    </xf>
    <xf numFmtId="0" fontId="55" fillId="0" borderId="0" xfId="54" applyFont="1" applyBorder="1" applyAlignment="1">
      <alignment horizontal="left"/>
    </xf>
    <xf numFmtId="4" fontId="55" fillId="0" borderId="5" xfId="54" applyNumberFormat="1" applyFont="1" applyBorder="1"/>
    <xf numFmtId="0" fontId="55" fillId="0" borderId="0" xfId="54" applyFont="1" applyFill="1" applyBorder="1" applyAlignment="1">
      <alignment horizontal="left"/>
    </xf>
    <xf numFmtId="10" fontId="55" fillId="0" borderId="5" xfId="54" applyNumberFormat="1" applyFont="1" applyBorder="1"/>
    <xf numFmtId="0" fontId="55" fillId="0" borderId="0" xfId="54" applyFont="1" applyBorder="1"/>
    <xf numFmtId="0" fontId="63" fillId="0" borderId="0" xfId="54" applyFont="1" applyFill="1" applyBorder="1"/>
    <xf numFmtId="0" fontId="0" fillId="0" borderId="0" xfId="0"/>
    <xf numFmtId="14" fontId="0" fillId="0" borderId="0" xfId="0" applyNumberFormat="1"/>
    <xf numFmtId="0" fontId="0" fillId="0" borderId="0" xfId="0"/>
    <xf numFmtId="0" fontId="48" fillId="0" borderId="0" xfId="0" applyFont="1"/>
    <xf numFmtId="0" fontId="55" fillId="0" borderId="0" xfId="54" applyFont="1"/>
    <xf numFmtId="0" fontId="0" fillId="0" borderId="0" xfId="0"/>
    <xf numFmtId="0" fontId="4" fillId="0" borderId="47" xfId="54" applyNumberFormat="1" applyFont="1" applyBorder="1" applyAlignment="1" applyProtection="1">
      <alignment horizontal="center" vertical="top" wrapText="1"/>
      <protection locked="0"/>
    </xf>
    <xf numFmtId="0" fontId="0" fillId="0" borderId="0" xfId="0"/>
    <xf numFmtId="4" fontId="0" fillId="0" borderId="0" xfId="0" applyNumberFormat="1"/>
    <xf numFmtId="0" fontId="0" fillId="0" borderId="0" xfId="0"/>
    <xf numFmtId="9" fontId="0" fillId="0" borderId="0" xfId="0" applyNumberFormat="1"/>
    <xf numFmtId="0" fontId="0" fillId="39" borderId="0" xfId="0" applyFill="1"/>
    <xf numFmtId="167" fontId="10" fillId="43" borderId="13" xfId="54" applyNumberFormat="1" applyFont="1" applyFill="1" applyBorder="1" applyAlignment="1"/>
    <xf numFmtId="0" fontId="1" fillId="39" borderId="0" xfId="61" applyFont="1" applyFill="1"/>
    <xf numFmtId="0" fontId="28" fillId="39" borderId="0" xfId="61" applyFill="1"/>
    <xf numFmtId="0" fontId="28" fillId="0" borderId="0" xfId="61" applyBorder="1"/>
    <xf numFmtId="0" fontId="0" fillId="0" borderId="0" xfId="0" applyBorder="1"/>
    <xf numFmtId="0" fontId="28" fillId="0" borderId="37" xfId="61" applyBorder="1"/>
    <xf numFmtId="0" fontId="0" fillId="0" borderId="37" xfId="0" applyBorder="1"/>
    <xf numFmtId="0" fontId="28" fillId="0" borderId="37" xfId="61" applyFill="1" applyBorder="1"/>
    <xf numFmtId="0" fontId="0" fillId="0" borderId="37" xfId="0" applyFill="1" applyBorder="1"/>
    <xf numFmtId="0" fontId="1" fillId="44" borderId="0" xfId="61" applyFont="1" applyFill="1"/>
    <xf numFmtId="0" fontId="28" fillId="44" borderId="0" xfId="61" applyFill="1"/>
    <xf numFmtId="0" fontId="0" fillId="44" borderId="0" xfId="0" applyFill="1"/>
    <xf numFmtId="0" fontId="2" fillId="0" borderId="48" xfId="54" applyFont="1" applyBorder="1" applyAlignment="1" applyProtection="1">
      <alignment horizontal="left" vertical="top" wrapText="1"/>
      <protection locked="0"/>
    </xf>
    <xf numFmtId="0" fontId="2" fillId="0" borderId="49" xfId="54" applyFont="1" applyBorder="1" applyAlignment="1" applyProtection="1">
      <alignment horizontal="left" vertical="top" wrapText="1"/>
      <protection locked="0"/>
    </xf>
    <xf numFmtId="164" fontId="2" fillId="0" borderId="38" xfId="54" applyNumberFormat="1" applyFont="1" applyBorder="1" applyAlignment="1" applyProtection="1">
      <alignment horizontal="left" vertical="top" wrapText="1"/>
      <protection locked="0"/>
    </xf>
    <xf numFmtId="164" fontId="2" fillId="0" borderId="39" xfId="54" applyNumberFormat="1" applyFont="1" applyBorder="1" applyAlignment="1" applyProtection="1">
      <alignment horizontal="left" vertical="top" wrapText="1"/>
      <protection locked="0"/>
    </xf>
    <xf numFmtId="0" fontId="0" fillId="0" borderId="0" xfId="0" applyAlignment="1">
      <alignment wrapText="1"/>
    </xf>
    <xf numFmtId="4" fontId="2" fillId="0" borderId="48" xfId="54" applyNumberFormat="1" applyFont="1" applyBorder="1" applyAlignment="1" applyProtection="1">
      <alignment vertical="top"/>
      <protection locked="0"/>
    </xf>
    <xf numFmtId="4" fontId="2" fillId="0" borderId="49" xfId="54" applyNumberFormat="1" applyFont="1" applyBorder="1" applyAlignment="1" applyProtection="1">
      <alignment vertical="top"/>
      <protection locked="0"/>
    </xf>
    <xf numFmtId="4" fontId="7" fillId="39" borderId="13" xfId="54" applyNumberFormat="1" applyFont="1" applyFill="1" applyBorder="1" applyAlignment="1"/>
    <xf numFmtId="0" fontId="70" fillId="0" borderId="0" xfId="0" applyFont="1"/>
    <xf numFmtId="0" fontId="71" fillId="0" borderId="0" xfId="0" applyFont="1"/>
    <xf numFmtId="0" fontId="71" fillId="0" borderId="7" xfId="0" applyFont="1" applyBorder="1"/>
    <xf numFmtId="0" fontId="71" fillId="0" borderId="38" xfId="0" applyFont="1" applyBorder="1"/>
    <xf numFmtId="0" fontId="71" fillId="0" borderId="5" xfId="0" applyFont="1" applyBorder="1" applyAlignment="1">
      <alignment horizontal="center" vertical="center" wrapText="1"/>
    </xf>
    <xf numFmtId="0" fontId="72" fillId="0" borderId="7" xfId="0" applyFont="1" applyBorder="1" applyAlignment="1">
      <alignment vertical="center"/>
    </xf>
    <xf numFmtId="0" fontId="71" fillId="0" borderId="38" xfId="0" applyFont="1" applyBorder="1" applyAlignment="1">
      <alignment vertical="center"/>
    </xf>
    <xf numFmtId="0" fontId="71" fillId="0" borderId="0" xfId="0" applyFont="1" applyAlignment="1">
      <alignment vertical="center"/>
    </xf>
    <xf numFmtId="0" fontId="71" fillId="0" borderId="7" xfId="0" applyFont="1" applyBorder="1" applyAlignment="1">
      <alignment horizontal="left" indent="1"/>
    </xf>
    <xf numFmtId="0" fontId="71" fillId="0" borderId="79" xfId="0" applyFont="1" applyBorder="1" applyAlignment="1">
      <alignment horizontal="left" indent="1"/>
    </xf>
    <xf numFmtId="0" fontId="71" fillId="0" borderId="37" xfId="0" applyFont="1" applyBorder="1"/>
    <xf numFmtId="0" fontId="71" fillId="0" borderId="57" xfId="0" applyFont="1" applyBorder="1" applyAlignment="1">
      <alignment horizontal="left" indent="1"/>
    </xf>
    <xf numFmtId="0" fontId="71" fillId="0" borderId="60" xfId="0" applyFont="1" applyBorder="1"/>
    <xf numFmtId="0" fontId="72" fillId="0" borderId="57" xfId="0" applyFont="1" applyBorder="1"/>
    <xf numFmtId="0" fontId="72" fillId="0" borderId="79" xfId="0" applyFont="1" applyBorder="1"/>
    <xf numFmtId="0" fontId="72" fillId="0" borderId="7" xfId="0" applyFont="1" applyBorder="1"/>
    <xf numFmtId="4" fontId="71" fillId="0" borderId="5" xfId="0" applyNumberFormat="1" applyFont="1" applyBorder="1" applyAlignment="1">
      <alignment vertical="center"/>
    </xf>
    <xf numFmtId="4" fontId="71" fillId="0" borderId="39" xfId="0" applyNumberFormat="1" applyFont="1" applyBorder="1" applyAlignment="1">
      <alignment vertical="center"/>
    </xf>
    <xf numFmtId="4" fontId="71" fillId="0" borderId="5" xfId="0" applyNumberFormat="1" applyFont="1" applyBorder="1"/>
    <xf numFmtId="4" fontId="71" fillId="0" borderId="16" xfId="0" applyNumberFormat="1" applyFont="1" applyBorder="1"/>
    <xf numFmtId="4" fontId="71" fillId="0" borderId="80" xfId="0" applyNumberFormat="1" applyFont="1" applyBorder="1"/>
    <xf numFmtId="4" fontId="71" fillId="0" borderId="12" xfId="0" applyNumberFormat="1" applyFont="1" applyBorder="1"/>
    <xf numFmtId="3" fontId="73" fillId="40" borderId="5" xfId="94" applyFont="1" applyFill="1" applyBorder="1" applyAlignment="1">
      <alignment horizontal="center" vertical="center" wrapText="1"/>
    </xf>
    <xf numFmtId="0" fontId="73" fillId="40" borderId="5" xfId="60" applyFont="1" applyFill="1" applyBorder="1" applyAlignment="1">
      <alignment horizontal="center" vertical="center" wrapText="1"/>
    </xf>
    <xf numFmtId="167" fontId="73" fillId="40" borderId="5" xfId="45" applyNumberFormat="1" applyFont="1" applyFill="1" applyBorder="1" applyAlignment="1">
      <alignment horizontal="right" vertical="center"/>
    </xf>
    <xf numFmtId="167" fontId="74" fillId="0" borderId="13" xfId="45" applyNumberFormat="1" applyFont="1" applyBorder="1" applyAlignment="1">
      <alignment horizontal="right" vertical="center"/>
    </xf>
    <xf numFmtId="167" fontId="73" fillId="0" borderId="13" xfId="60" applyNumberFormat="1" applyFont="1" applyBorder="1" applyAlignment="1">
      <alignment horizontal="right" vertical="center"/>
    </xf>
    <xf numFmtId="167" fontId="73" fillId="0" borderId="13" xfId="94" applyNumberFormat="1" applyFont="1" applyBorder="1" applyAlignment="1">
      <alignment horizontal="right" vertical="center"/>
    </xf>
    <xf numFmtId="167" fontId="73" fillId="0" borderId="22" xfId="94" applyNumberFormat="1" applyFont="1" applyBorder="1" applyAlignment="1">
      <alignment horizontal="right" vertical="center"/>
    </xf>
    <xf numFmtId="167" fontId="73" fillId="45" borderId="13" xfId="94" applyNumberFormat="1" applyFont="1" applyFill="1" applyBorder="1" applyAlignment="1">
      <alignment horizontal="right" vertical="center"/>
    </xf>
    <xf numFmtId="167" fontId="73" fillId="0" borderId="23" xfId="60" applyNumberFormat="1" applyFont="1" applyBorder="1" applyAlignment="1">
      <alignment horizontal="right" vertical="center"/>
    </xf>
    <xf numFmtId="167" fontId="75" fillId="0" borderId="13" xfId="94" applyNumberFormat="1" applyFont="1" applyBorder="1" applyAlignment="1">
      <alignment horizontal="right" vertical="center"/>
    </xf>
    <xf numFmtId="167" fontId="75" fillId="0" borderId="22" xfId="94" applyNumberFormat="1" applyFont="1" applyBorder="1" applyAlignment="1">
      <alignment horizontal="right" vertical="center"/>
    </xf>
    <xf numFmtId="167" fontId="75" fillId="45" borderId="22" xfId="94" applyNumberFormat="1" applyFont="1" applyFill="1" applyBorder="1" applyAlignment="1">
      <alignment horizontal="right" vertical="center"/>
    </xf>
    <xf numFmtId="171" fontId="73" fillId="40" borderId="5" xfId="45" applyFont="1" applyFill="1" applyBorder="1" applyAlignment="1">
      <alignment vertical="center"/>
    </xf>
    <xf numFmtId="3" fontId="75" fillId="0" borderId="13" xfId="94" applyFont="1" applyBorder="1" applyAlignment="1">
      <alignment vertical="center"/>
    </xf>
    <xf numFmtId="3" fontId="74" fillId="0" borderId="13" xfId="94" applyFont="1" applyBorder="1" applyAlignment="1">
      <alignment vertical="center"/>
    </xf>
    <xf numFmtId="0" fontId="3" fillId="0" borderId="0" xfId="54" applyFont="1" applyAlignment="1">
      <alignment horizontal="left" wrapText="1"/>
    </xf>
    <xf numFmtId="0" fontId="8" fillId="0" borderId="0" xfId="54" applyFont="1" applyAlignment="1">
      <alignment horizontal="left"/>
    </xf>
    <xf numFmtId="0" fontId="1" fillId="0" borderId="60" xfId="54" applyFont="1" applyBorder="1" applyAlignment="1">
      <alignment horizontal="left" vertical="center" wrapText="1"/>
    </xf>
    <xf numFmtId="0" fontId="1" fillId="0" borderId="37" xfId="54" applyFont="1" applyBorder="1" applyAlignment="1">
      <alignment horizontal="left" vertical="center" wrapText="1"/>
    </xf>
    <xf numFmtId="0" fontId="1" fillId="0" borderId="60" xfId="54" applyFont="1" applyBorder="1" applyAlignment="1">
      <alignment horizontal="left" vertical="top" wrapText="1"/>
    </xf>
    <xf numFmtId="0" fontId="1" fillId="0" borderId="37" xfId="54" applyFont="1" applyBorder="1" applyAlignment="1">
      <alignment horizontal="left" vertical="top" wrapText="1"/>
    </xf>
    <xf numFmtId="4" fontId="10" fillId="0" borderId="22" xfId="54" applyNumberFormat="1" applyFont="1" applyBorder="1" applyAlignment="1">
      <alignment horizontal="left" vertical="center"/>
    </xf>
    <xf numFmtId="4" fontId="10" fillId="0" borderId="0" xfId="54" applyNumberFormat="1" applyFont="1" applyBorder="1" applyAlignment="1">
      <alignment horizontal="left" vertical="center"/>
    </xf>
    <xf numFmtId="0" fontId="65" fillId="0" borderId="0" xfId="54" applyFont="1" applyFill="1" applyBorder="1" applyAlignment="1">
      <alignment horizontal="left"/>
    </xf>
    <xf numFmtId="0" fontId="63" fillId="0" borderId="0" xfId="54" applyFont="1" applyFill="1" applyBorder="1" applyAlignment="1">
      <alignment horizontal="left"/>
    </xf>
    <xf numFmtId="0" fontId="64" fillId="0" borderId="0" xfId="54" applyFont="1" applyAlignment="1">
      <alignment horizontal="left"/>
    </xf>
    <xf numFmtId="3" fontId="66" fillId="0" borderId="19" xfId="54" applyNumberFormat="1" applyFont="1" applyBorder="1" applyAlignment="1">
      <alignment horizontal="center"/>
    </xf>
    <xf numFmtId="3" fontId="66" fillId="0" borderId="34" xfId="54" applyNumberFormat="1" applyFont="1" applyBorder="1" applyAlignment="1">
      <alignment horizontal="center"/>
    </xf>
    <xf numFmtId="4" fontId="2" fillId="0" borderId="48" xfId="54" applyNumberFormat="1" applyFont="1" applyBorder="1" applyAlignment="1" applyProtection="1">
      <alignment horizontal="left" vertical="top" wrapText="1"/>
      <protection locked="0"/>
    </xf>
    <xf numFmtId="0" fontId="2" fillId="0" borderId="48" xfId="54" applyFont="1" applyBorder="1" applyAlignment="1" applyProtection="1">
      <alignment horizontal="left" vertical="top" wrapText="1"/>
      <protection locked="0"/>
    </xf>
    <xf numFmtId="0" fontId="2" fillId="0" borderId="49" xfId="54" applyFont="1" applyBorder="1" applyAlignment="1" applyProtection="1">
      <alignment horizontal="left" vertical="top" wrapText="1"/>
      <protection locked="0"/>
    </xf>
    <xf numFmtId="0" fontId="2" fillId="0" borderId="30" xfId="54" applyFont="1" applyBorder="1" applyAlignment="1" applyProtection="1">
      <alignment horizontal="left" vertical="top" wrapText="1"/>
      <protection locked="0"/>
    </xf>
    <xf numFmtId="0" fontId="2" fillId="0" borderId="38" xfId="54" applyFont="1" applyBorder="1" applyAlignment="1" applyProtection="1">
      <alignment horizontal="left" vertical="top" wrapText="1"/>
      <protection locked="0"/>
    </xf>
    <xf numFmtId="164" fontId="2" fillId="0" borderId="38" xfId="54" applyNumberFormat="1" applyFont="1" applyBorder="1" applyAlignment="1" applyProtection="1">
      <alignment horizontal="left" vertical="top" wrapText="1"/>
      <protection locked="0"/>
    </xf>
    <xf numFmtId="164" fontId="2" fillId="0" borderId="39" xfId="54" applyNumberFormat="1" applyFont="1" applyBorder="1" applyAlignment="1" applyProtection="1">
      <alignment horizontal="left" vertical="top" wrapText="1"/>
      <protection locked="0"/>
    </xf>
    <xf numFmtId="0" fontId="5" fillId="0" borderId="30" xfId="54" applyFont="1" applyBorder="1" applyAlignment="1" applyProtection="1">
      <alignment horizontal="center" vertical="top" wrapText="1"/>
      <protection locked="0"/>
    </xf>
    <xf numFmtId="0" fontId="5" fillId="0" borderId="38" xfId="54" applyFont="1" applyBorder="1" applyAlignment="1" applyProtection="1">
      <alignment horizontal="center" vertical="top" wrapText="1"/>
      <protection locked="0"/>
    </xf>
    <xf numFmtId="0" fontId="5" fillId="0" borderId="61" xfId="54" applyFont="1" applyBorder="1" applyAlignment="1" applyProtection="1">
      <alignment horizontal="center" vertical="top" wrapText="1"/>
      <protection locked="0"/>
    </xf>
    <xf numFmtId="0" fontId="3" fillId="0" borderId="62" xfId="54" applyFont="1" applyBorder="1" applyAlignment="1" applyProtection="1">
      <alignment horizontal="left" vertical="top" wrapText="1"/>
      <protection locked="0"/>
    </xf>
    <xf numFmtId="0" fontId="3" fillId="0" borderId="63" xfId="54" applyFont="1" applyBorder="1" applyAlignment="1" applyProtection="1">
      <alignment horizontal="left" vertical="top" wrapText="1"/>
      <protection locked="0"/>
    </xf>
    <xf numFmtId="0" fontId="3" fillId="0" borderId="64" xfId="54" applyFont="1" applyBorder="1" applyAlignment="1" applyProtection="1">
      <alignment horizontal="left" vertical="top" wrapText="1"/>
      <protection locked="0"/>
    </xf>
    <xf numFmtId="0" fontId="2" fillId="0" borderId="30" xfId="54" applyFont="1" applyBorder="1" applyAlignment="1" applyProtection="1">
      <alignment horizontal="center" vertical="top" wrapText="1"/>
      <protection locked="0"/>
    </xf>
    <xf numFmtId="0" fontId="2" fillId="0" borderId="38" xfId="54" applyFont="1" applyBorder="1" applyAlignment="1" applyProtection="1">
      <alignment horizontal="center" vertical="top" wrapText="1"/>
      <protection locked="0"/>
    </xf>
    <xf numFmtId="0" fontId="3" fillId="0" borderId="65" xfId="54" applyFont="1" applyBorder="1" applyAlignment="1" applyProtection="1">
      <alignment horizontal="left" vertical="top" wrapText="1"/>
      <protection locked="0"/>
    </xf>
    <xf numFmtId="0" fontId="3" fillId="0" borderId="50" xfId="54" applyFont="1" applyBorder="1" applyAlignment="1" applyProtection="1">
      <alignment horizontal="left" vertical="top" wrapText="1"/>
      <protection locked="0"/>
    </xf>
    <xf numFmtId="3" fontId="1" fillId="0" borderId="0" xfId="54" applyNumberFormat="1" applyAlignment="1">
      <alignment horizontal="left" wrapText="1"/>
    </xf>
    <xf numFmtId="3" fontId="1" fillId="0" borderId="0" xfId="54" applyNumberFormat="1" applyFont="1" applyAlignment="1">
      <alignment horizontal="left" wrapText="1"/>
    </xf>
    <xf numFmtId="3" fontId="66" fillId="0" borderId="20" xfId="54" applyNumberFormat="1" applyFont="1" applyBorder="1" applyAlignment="1">
      <alignment horizontal="center"/>
    </xf>
    <xf numFmtId="0" fontId="12" fillId="43" borderId="40" xfId="54" applyFont="1" applyFill="1" applyBorder="1" applyAlignment="1">
      <alignment wrapText="1"/>
    </xf>
    <xf numFmtId="0" fontId="12" fillId="43" borderId="5" xfId="54" applyFont="1" applyFill="1" applyBorder="1" applyAlignment="1">
      <alignment wrapText="1"/>
    </xf>
    <xf numFmtId="0" fontId="11" fillId="43" borderId="5" xfId="54" applyFont="1" applyFill="1" applyBorder="1" applyAlignment="1">
      <alignment horizontal="center"/>
    </xf>
    <xf numFmtId="0" fontId="13" fillId="0" borderId="24" xfId="54" applyFont="1" applyBorder="1" applyAlignment="1">
      <alignment horizontal="center"/>
    </xf>
    <xf numFmtId="0" fontId="13" fillId="0" borderId="13" xfId="54" applyFont="1" applyBorder="1" applyAlignment="1">
      <alignment horizontal="center"/>
    </xf>
    <xf numFmtId="0" fontId="7" fillId="0" borderId="13" xfId="54" applyFont="1" applyBorder="1" applyAlignment="1"/>
    <xf numFmtId="0" fontId="1" fillId="0" borderId="13" xfId="54" applyFont="1" applyBorder="1" applyAlignment="1"/>
    <xf numFmtId="0" fontId="1" fillId="0" borderId="13" xfId="54" applyFont="1" applyFill="1" applyBorder="1" applyAlignment="1"/>
    <xf numFmtId="0" fontId="1" fillId="0" borderId="22" xfId="54" applyFont="1" applyFill="1" applyBorder="1" applyAlignment="1">
      <alignment horizontal="left"/>
    </xf>
    <xf numFmtId="0" fontId="1" fillId="0" borderId="0" xfId="54" applyFont="1" applyFill="1" applyBorder="1" applyAlignment="1">
      <alignment horizontal="left"/>
    </xf>
    <xf numFmtId="0" fontId="1" fillId="0" borderId="23" xfId="54" applyFont="1" applyFill="1" applyBorder="1" applyAlignment="1">
      <alignment horizontal="left"/>
    </xf>
    <xf numFmtId="0" fontId="13" fillId="0" borderId="24" xfId="54" applyFont="1" applyBorder="1" applyAlignment="1"/>
    <xf numFmtId="0" fontId="13" fillId="0" borderId="13" xfId="54" applyFont="1" applyBorder="1" applyAlignment="1"/>
    <xf numFmtId="0" fontId="13" fillId="43" borderId="40" xfId="54" applyFont="1" applyFill="1" applyBorder="1" applyAlignment="1">
      <alignment horizontal="center"/>
    </xf>
    <xf numFmtId="0" fontId="13" fillId="43" borderId="5" xfId="54" applyFont="1" applyFill="1" applyBorder="1" applyAlignment="1">
      <alignment horizontal="center"/>
    </xf>
    <xf numFmtId="0" fontId="7" fillId="0" borderId="13" xfId="54" applyFont="1" applyBorder="1" applyAlignment="1">
      <alignment horizontal="left"/>
    </xf>
    <xf numFmtId="0" fontId="14" fillId="0" borderId="17" xfId="54" applyFont="1" applyBorder="1" applyAlignment="1">
      <alignment horizontal="center"/>
    </xf>
    <xf numFmtId="0" fontId="14" fillId="0" borderId="14" xfId="54" applyFont="1" applyBorder="1" applyAlignment="1">
      <alignment horizontal="center"/>
    </xf>
    <xf numFmtId="0" fontId="11" fillId="43" borderId="24" xfId="54" applyFont="1" applyFill="1" applyBorder="1" applyAlignment="1">
      <alignment horizontal="center" vertical="top"/>
    </xf>
    <xf numFmtId="0" fontId="11" fillId="43" borderId="13" xfId="54" applyFont="1" applyFill="1" applyBorder="1" applyAlignment="1">
      <alignment horizontal="center" vertical="top"/>
    </xf>
    <xf numFmtId="0" fontId="12" fillId="43" borderId="40" xfId="54" applyFont="1" applyFill="1" applyBorder="1" applyAlignment="1">
      <alignment horizontal="center" wrapText="1"/>
    </xf>
    <xf numFmtId="0" fontId="12" fillId="43" borderId="5" xfId="54" applyFont="1" applyFill="1" applyBorder="1" applyAlignment="1">
      <alignment horizontal="center" wrapText="1"/>
    </xf>
    <xf numFmtId="0" fontId="11" fillId="43" borderId="5" xfId="54" applyFont="1" applyFill="1" applyBorder="1" applyAlignment="1">
      <alignment vertical="top"/>
    </xf>
    <xf numFmtId="0" fontId="13" fillId="0" borderId="24" xfId="54" applyFont="1" applyBorder="1"/>
    <xf numFmtId="0" fontId="13" fillId="0" borderId="13" xfId="54" applyFont="1" applyBorder="1"/>
    <xf numFmtId="0" fontId="7" fillId="0" borderId="13" xfId="54" applyFont="1" applyBorder="1" applyAlignment="1">
      <alignment vertical="top"/>
    </xf>
    <xf numFmtId="0" fontId="13" fillId="0" borderId="24" xfId="54" applyFont="1" applyBorder="1" applyAlignment="1">
      <alignment horizontal="center" wrapText="1"/>
    </xf>
    <xf numFmtId="0" fontId="13" fillId="0" borderId="13" xfId="54" applyFont="1" applyBorder="1" applyAlignment="1">
      <alignment horizontal="center" wrapText="1"/>
    </xf>
    <xf numFmtId="0" fontId="1" fillId="0" borderId="13" xfId="54" applyFont="1" applyBorder="1" applyAlignment="1">
      <alignment wrapText="1"/>
    </xf>
    <xf numFmtId="0" fontId="7" fillId="0" borderId="13" xfId="54" applyFont="1" applyBorder="1" applyAlignment="1">
      <alignment vertical="top" wrapText="1"/>
    </xf>
    <xf numFmtId="0" fontId="7" fillId="0" borderId="13" xfId="54" applyFont="1" applyBorder="1" applyAlignment="1">
      <alignment wrapText="1"/>
    </xf>
    <xf numFmtId="0" fontId="1" fillId="0" borderId="13" xfId="54" applyBorder="1"/>
    <xf numFmtId="0" fontId="13" fillId="43" borderId="40" xfId="54" applyFont="1" applyFill="1" applyBorder="1" applyAlignment="1">
      <alignment horizontal="center" wrapText="1"/>
    </xf>
    <xf numFmtId="0" fontId="13" fillId="43" borderId="5" xfId="54" applyFont="1" applyFill="1" applyBorder="1" applyAlignment="1">
      <alignment horizontal="center" wrapText="1"/>
    </xf>
    <xf numFmtId="0" fontId="7" fillId="0" borderId="13" xfId="54" applyFont="1" applyBorder="1" applyAlignment="1">
      <alignment horizontal="left" vertical="top"/>
    </xf>
    <xf numFmtId="0" fontId="7" fillId="0" borderId="13" xfId="54" applyFont="1" applyBorder="1" applyAlignment="1">
      <alignment horizontal="left" vertical="top" wrapText="1"/>
    </xf>
    <xf numFmtId="0" fontId="16" fillId="43" borderId="40" xfId="54" applyFont="1" applyFill="1" applyBorder="1" applyAlignment="1">
      <alignment horizontal="center" wrapText="1"/>
    </xf>
    <xf numFmtId="0" fontId="16" fillId="43" borderId="5" xfId="54" applyFont="1" applyFill="1" applyBorder="1" applyAlignment="1">
      <alignment horizontal="center" wrapText="1"/>
    </xf>
    <xf numFmtId="166" fontId="10" fillId="0" borderId="0" xfId="54" applyNumberFormat="1" applyFont="1" applyAlignment="1">
      <alignment horizontal="left" wrapText="1"/>
    </xf>
    <xf numFmtId="0" fontId="1" fillId="0" borderId="13" xfId="54" applyFont="1" applyFill="1" applyBorder="1" applyAlignment="1">
      <alignment wrapText="1"/>
    </xf>
    <xf numFmtId="0" fontId="7" fillId="0" borderId="18" xfId="54" applyFont="1" applyBorder="1" applyAlignment="1">
      <alignment horizontal="left" vertical="top"/>
    </xf>
    <xf numFmtId="0" fontId="20" fillId="42" borderId="53" xfId="54" applyFont="1" applyFill="1" applyBorder="1" applyAlignment="1">
      <alignment horizontal="center" vertical="center" wrapText="1"/>
    </xf>
    <xf numFmtId="0" fontId="20" fillId="42" borderId="66" xfId="54" applyFont="1" applyFill="1" applyBorder="1" applyAlignment="1">
      <alignment horizontal="center" vertical="center" wrapText="1"/>
    </xf>
    <xf numFmtId="0" fontId="67" fillId="43" borderId="10" xfId="54" applyFont="1" applyFill="1" applyBorder="1" applyAlignment="1">
      <alignment horizontal="right" vertical="top"/>
    </xf>
    <xf numFmtId="0" fontId="67" fillId="43" borderId="11" xfId="54" applyFont="1" applyFill="1" applyBorder="1" applyAlignment="1">
      <alignment horizontal="right" vertical="top"/>
    </xf>
    <xf numFmtId="14" fontId="2" fillId="0" borderId="38" xfId="54" applyNumberFormat="1" applyFont="1" applyBorder="1" applyAlignment="1" applyProtection="1">
      <alignment horizontal="left" vertical="top" wrapText="1"/>
      <protection locked="0"/>
    </xf>
    <xf numFmtId="0" fontId="3" fillId="0" borderId="67" xfId="54" applyFont="1" applyBorder="1" applyAlignment="1" applyProtection="1">
      <alignment horizontal="left" vertical="top" wrapText="1"/>
      <protection locked="0"/>
    </xf>
    <xf numFmtId="0" fontId="3" fillId="0" borderId="3" xfId="54" applyFont="1" applyBorder="1" applyAlignment="1" applyProtection="1">
      <alignment horizontal="left" vertical="top" wrapText="1"/>
      <protection locked="0"/>
    </xf>
    <xf numFmtId="0" fontId="3" fillId="0" borderId="8" xfId="54" applyFont="1" applyBorder="1" applyAlignment="1" applyProtection="1">
      <alignment horizontal="left" vertical="top" wrapText="1"/>
      <protection locked="0"/>
    </xf>
    <xf numFmtId="3" fontId="1" fillId="0" borderId="68" xfId="54" applyNumberFormat="1" applyFont="1" applyFill="1" applyBorder="1" applyAlignment="1"/>
    <xf numFmtId="3" fontId="1" fillId="0" borderId="39" xfId="54" applyNumberFormat="1" applyFill="1" applyBorder="1" applyAlignment="1"/>
    <xf numFmtId="3" fontId="21" fillId="0" borderId="69" xfId="54" applyNumberFormat="1" applyFont="1" applyFill="1" applyBorder="1" applyAlignment="1"/>
    <xf numFmtId="3" fontId="21" fillId="0" borderId="41" xfId="54" applyNumberFormat="1" applyFont="1" applyFill="1" applyBorder="1" applyAlignment="1"/>
    <xf numFmtId="3" fontId="1" fillId="0" borderId="9" xfId="54" applyNumberFormat="1" applyFill="1" applyBorder="1" applyAlignment="1"/>
    <xf numFmtId="3" fontId="1" fillId="0" borderId="11" xfId="54" applyNumberFormat="1" applyFill="1" applyBorder="1" applyAlignment="1"/>
    <xf numFmtId="3" fontId="1" fillId="0" borderId="69" xfId="54" applyNumberFormat="1" applyFill="1" applyBorder="1" applyAlignment="1"/>
    <xf numFmtId="3" fontId="1" fillId="0" borderId="41" xfId="54" applyNumberFormat="1" applyFill="1" applyBorder="1" applyAlignment="1"/>
    <xf numFmtId="3" fontId="1" fillId="0" borderId="68" xfId="54" applyNumberFormat="1" applyFill="1" applyBorder="1" applyAlignment="1"/>
    <xf numFmtId="3" fontId="1" fillId="0" borderId="69" xfId="54" applyNumberFormat="1" applyFont="1" applyFill="1" applyBorder="1" applyAlignment="1"/>
    <xf numFmtId="3" fontId="1" fillId="0" borderId="20" xfId="54" applyNumberFormat="1" applyFill="1" applyBorder="1" applyAlignment="1"/>
    <xf numFmtId="3" fontId="21" fillId="0" borderId="9" xfId="54" applyNumberFormat="1" applyFont="1" applyFill="1" applyBorder="1" applyAlignment="1"/>
    <xf numFmtId="3" fontId="21" fillId="0" borderId="11" xfId="54" applyNumberFormat="1" applyFont="1" applyFill="1" applyBorder="1" applyAlignment="1"/>
    <xf numFmtId="14" fontId="2" fillId="0" borderId="39" xfId="54" applyNumberFormat="1" applyFont="1" applyBorder="1" applyAlignment="1" applyProtection="1">
      <alignment horizontal="left" vertical="top" wrapText="1"/>
      <protection locked="0"/>
    </xf>
    <xf numFmtId="0" fontId="4" fillId="0" borderId="65" xfId="54" applyFont="1" applyBorder="1" applyAlignment="1" applyProtection="1">
      <alignment horizontal="center" vertical="top" wrapText="1"/>
      <protection locked="0"/>
    </xf>
    <xf numFmtId="0" fontId="4" fillId="0" borderId="50" xfId="54" applyFont="1" applyBorder="1" applyAlignment="1" applyProtection="1">
      <alignment horizontal="center" vertical="top" wrapText="1"/>
      <protection locked="0"/>
    </xf>
    <xf numFmtId="0" fontId="4" fillId="0" borderId="51" xfId="54" applyFont="1" applyBorder="1" applyAlignment="1" applyProtection="1">
      <alignment horizontal="center" vertical="top" wrapText="1"/>
      <protection locked="0"/>
    </xf>
    <xf numFmtId="3" fontId="54" fillId="0" borderId="19" xfId="54" applyNumberFormat="1" applyFont="1" applyBorder="1" applyAlignment="1">
      <alignment horizontal="center"/>
    </xf>
    <xf numFmtId="3" fontId="54" fillId="0" borderId="34" xfId="54" applyNumberFormat="1" applyFont="1" applyBorder="1" applyAlignment="1">
      <alignment horizontal="center"/>
    </xf>
    <xf numFmtId="0" fontId="1" fillId="0" borderId="5" xfId="54" applyFill="1" applyBorder="1" applyAlignment="1">
      <alignment horizontal="left"/>
    </xf>
    <xf numFmtId="3" fontId="21" fillId="0" borderId="68" xfId="54" applyNumberFormat="1" applyFont="1" applyFill="1" applyBorder="1" applyAlignment="1"/>
    <xf numFmtId="3" fontId="21" fillId="0" borderId="39" xfId="54" applyNumberFormat="1" applyFont="1" applyFill="1" applyBorder="1" applyAlignment="1"/>
    <xf numFmtId="3" fontId="1" fillId="0" borderId="9" xfId="54" applyNumberFormat="1" applyFont="1" applyFill="1" applyBorder="1" applyAlignment="1"/>
    <xf numFmtId="0" fontId="20" fillId="41" borderId="19" xfId="54" applyFont="1" applyFill="1" applyBorder="1" applyAlignment="1">
      <alignment horizontal="left" vertical="center"/>
    </xf>
    <xf numFmtId="0" fontId="20" fillId="41" borderId="20" xfId="54" applyFont="1" applyFill="1" applyBorder="1" applyAlignment="1">
      <alignment horizontal="left" vertical="center"/>
    </xf>
    <xf numFmtId="0" fontId="20" fillId="41" borderId="34" xfId="54" applyFont="1" applyFill="1" applyBorder="1" applyAlignment="1">
      <alignment horizontal="left" vertical="center"/>
    </xf>
    <xf numFmtId="0" fontId="1" fillId="0" borderId="7" xfId="54" applyFill="1" applyBorder="1" applyAlignment="1">
      <alignment horizontal="left"/>
    </xf>
    <xf numFmtId="0" fontId="1" fillId="0" borderId="38" xfId="54" applyFill="1" applyBorder="1" applyAlignment="1">
      <alignment horizontal="left"/>
    </xf>
    <xf numFmtId="3" fontId="7" fillId="38" borderId="7" xfId="54" applyNumberFormat="1" applyFont="1" applyFill="1" applyBorder="1" applyAlignment="1">
      <alignment horizontal="center"/>
    </xf>
    <xf numFmtId="3" fontId="7" fillId="38" borderId="38" xfId="54" applyNumberFormat="1" applyFont="1" applyFill="1" applyBorder="1" applyAlignment="1">
      <alignment horizontal="center"/>
    </xf>
    <xf numFmtId="3" fontId="7" fillId="38" borderId="39" xfId="54" applyNumberFormat="1" applyFont="1" applyFill="1" applyBorder="1" applyAlignment="1">
      <alignment horizontal="center"/>
    </xf>
    <xf numFmtId="0" fontId="22" fillId="0" borderId="0" xfId="71" applyFont="1" applyAlignment="1">
      <alignment horizontal="left" wrapText="1"/>
    </xf>
    <xf numFmtId="0" fontId="20" fillId="41" borderId="19" xfId="54" applyFont="1" applyFill="1" applyBorder="1" applyAlignment="1">
      <alignment horizontal="left"/>
    </xf>
    <xf numFmtId="0" fontId="20" fillId="41" borderId="20" xfId="54" applyFont="1" applyFill="1" applyBorder="1" applyAlignment="1">
      <alignment horizontal="left"/>
    </xf>
    <xf numFmtId="0" fontId="20" fillId="41" borderId="34" xfId="54" applyFont="1" applyFill="1" applyBorder="1" applyAlignment="1">
      <alignment horizontal="left"/>
    </xf>
    <xf numFmtId="4" fontId="71" fillId="0" borderId="12" xfId="0" applyNumberFormat="1" applyFont="1" applyBorder="1" applyAlignment="1">
      <alignment horizontal="right" wrapText="1"/>
    </xf>
    <xf numFmtId="4" fontId="71" fillId="0" borderId="16" xfId="0" applyNumberFormat="1" applyFont="1" applyBorder="1" applyAlignment="1">
      <alignment horizontal="right" wrapText="1"/>
    </xf>
    <xf numFmtId="4" fontId="7" fillId="0" borderId="13" xfId="54" applyNumberFormat="1" applyFont="1" applyFill="1" applyBorder="1" applyAlignment="1"/>
  </cellXfs>
  <cellStyles count="95">
    <cellStyle name="20% - Énfasis1" xfId="2" builtinId="30" customBuiltin="1"/>
    <cellStyle name="20% - Énfasis2" xfId="3" builtinId="34" customBuiltin="1"/>
    <cellStyle name="20% - Énfasis3" xfId="4" builtinId="38" customBuiltin="1"/>
    <cellStyle name="20% - Énfasis4" xfId="5" builtinId="42" customBuiltin="1"/>
    <cellStyle name="20% - Énfasis5" xfId="6" builtinId="46" customBuiltin="1"/>
    <cellStyle name="20% - Énfasis6" xfId="7" builtinId="50" customBuiltin="1"/>
    <cellStyle name="40% - Énfasis1" xfId="8" builtinId="31" customBuiltin="1"/>
    <cellStyle name="40% - Énfasis2" xfId="9" builtinId="35" customBuiltin="1"/>
    <cellStyle name="40% - Énfasis3" xfId="10" builtinId="39" customBuiltin="1"/>
    <cellStyle name="40% - Énfasis4" xfId="11" builtinId="43" customBuiltin="1"/>
    <cellStyle name="40% - Énfasis5" xfId="12" builtinId="47" customBuiltin="1"/>
    <cellStyle name="40% - Énfasis6" xfId="13" builtinId="51" customBuiltin="1"/>
    <cellStyle name="60% - Énfasis1" xfId="14" builtinId="32" customBuiltin="1"/>
    <cellStyle name="60% - Énfasis2" xfId="15" builtinId="36" customBuiltin="1"/>
    <cellStyle name="60% - Énfasis3" xfId="16" builtinId="40" customBuiltin="1"/>
    <cellStyle name="60% - Énfasis4" xfId="17" builtinId="44" customBuiltin="1"/>
    <cellStyle name="60% - Énfasis5" xfId="18" builtinId="48" customBuiltin="1"/>
    <cellStyle name="60% - Énfasis6" xfId="19" builtinId="52" customBuiltin="1"/>
    <cellStyle name="Bueno" xfId="20" builtinId="26" customBuiltin="1"/>
    <cellStyle name="Cálculo" xfId="21" builtinId="22" customBuiltin="1"/>
    <cellStyle name="Celda de comprobación" xfId="22" builtinId="23" customBuiltin="1"/>
    <cellStyle name="Celda vinculada" xfId="23" builtinId="24" customBuiltin="1"/>
    <cellStyle name="Encabezado 1" xfId="90"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Euro" xfId="32" xr:uid="{00000000-0005-0000-0000-00001E000000}"/>
    <cellStyle name="Euro 2" xfId="33" xr:uid="{00000000-0005-0000-0000-00001F000000}"/>
    <cellStyle name="Euro 2 2" xfId="34" xr:uid="{00000000-0005-0000-0000-000020000000}"/>
    <cellStyle name="Euro 2 3" xfId="35" xr:uid="{00000000-0005-0000-0000-000021000000}"/>
    <cellStyle name="Euro 3" xfId="36" xr:uid="{00000000-0005-0000-0000-000022000000}"/>
    <cellStyle name="Euro 4" xfId="37" xr:uid="{00000000-0005-0000-0000-000023000000}"/>
    <cellStyle name="Euro 4 2" xfId="38" xr:uid="{00000000-0005-0000-0000-000024000000}"/>
    <cellStyle name="Euro 4 3" xfId="39" xr:uid="{00000000-0005-0000-0000-000025000000}"/>
    <cellStyle name="Euro 5" xfId="40" xr:uid="{00000000-0005-0000-0000-000026000000}"/>
    <cellStyle name="Euro 5 2" xfId="41" xr:uid="{00000000-0005-0000-0000-000027000000}"/>
    <cellStyle name="Hipervínculo 2" xfId="42" xr:uid="{00000000-0005-0000-0000-000028000000}"/>
    <cellStyle name="Incorrecto" xfId="43" builtinId="27" customBuiltin="1"/>
    <cellStyle name="Millares [0] 2" xfId="44" xr:uid="{00000000-0005-0000-0000-00002A000000}"/>
    <cellStyle name="Millares 2" xfId="45" xr:uid="{00000000-0005-0000-0000-00002B000000}"/>
    <cellStyle name="Millares 3" xfId="46" xr:uid="{00000000-0005-0000-0000-00002C000000}"/>
    <cellStyle name="Millares 4" xfId="47" xr:uid="{00000000-0005-0000-0000-00002D000000}"/>
    <cellStyle name="Millares 5" xfId="48" xr:uid="{00000000-0005-0000-0000-00002E000000}"/>
    <cellStyle name="Millares 6" xfId="49" xr:uid="{00000000-0005-0000-0000-00002F000000}"/>
    <cellStyle name="Millares 7" xfId="50" xr:uid="{00000000-0005-0000-0000-000030000000}"/>
    <cellStyle name="Millares 8" xfId="51" xr:uid="{00000000-0005-0000-0000-000031000000}"/>
    <cellStyle name="Millares 9" xfId="52" xr:uid="{00000000-0005-0000-0000-000032000000}"/>
    <cellStyle name="Neutral" xfId="53" builtinId="28" customBuiltin="1"/>
    <cellStyle name="NivelFila_1" xfId="1" builtinId="1" iLevel="0"/>
    <cellStyle name="Normal" xfId="0" builtinId="0"/>
    <cellStyle name="Normal 2" xfId="54" xr:uid="{00000000-0005-0000-0000-000036000000}"/>
    <cellStyle name="Normal 2 2" xfId="55" xr:uid="{00000000-0005-0000-0000-000037000000}"/>
    <cellStyle name="Normal 2 2 2" xfId="56" xr:uid="{00000000-0005-0000-0000-000038000000}"/>
    <cellStyle name="Normal 2 3" xfId="57" xr:uid="{00000000-0005-0000-0000-000039000000}"/>
    <cellStyle name="Normal 3" xfId="58" xr:uid="{00000000-0005-0000-0000-00003A000000}"/>
    <cellStyle name="Normal 3 2" xfId="59" xr:uid="{00000000-0005-0000-0000-00003B000000}"/>
    <cellStyle name="Normal 3 3" xfId="60" xr:uid="{00000000-0005-0000-0000-00003C000000}"/>
    <cellStyle name="Normal 3 4" xfId="61" xr:uid="{00000000-0005-0000-0000-00003D000000}"/>
    <cellStyle name="Normal 3 4 2" xfId="62" xr:uid="{00000000-0005-0000-0000-00003E000000}"/>
    <cellStyle name="Normal 3 4 3" xfId="63" xr:uid="{00000000-0005-0000-0000-00003F000000}"/>
    <cellStyle name="Normal 4" xfId="64" xr:uid="{00000000-0005-0000-0000-000040000000}"/>
    <cellStyle name="Normal 4 2" xfId="65" xr:uid="{00000000-0005-0000-0000-000041000000}"/>
    <cellStyle name="Normal 5" xfId="66" xr:uid="{00000000-0005-0000-0000-000042000000}"/>
    <cellStyle name="Normal 5 2" xfId="67" xr:uid="{00000000-0005-0000-0000-000043000000}"/>
    <cellStyle name="Normal 6" xfId="68" xr:uid="{00000000-0005-0000-0000-000044000000}"/>
    <cellStyle name="Normal 7" xfId="69" xr:uid="{00000000-0005-0000-0000-000045000000}"/>
    <cellStyle name="Normal 8" xfId="70" xr:uid="{00000000-0005-0000-0000-000046000000}"/>
    <cellStyle name="Normal 8 2" xfId="71" xr:uid="{00000000-0005-0000-0000-000047000000}"/>
    <cellStyle name="Normal_27 03 08 evaluacion de riesgos" xfId="72" xr:uid="{00000000-0005-0000-0000-000048000000}"/>
    <cellStyle name="Normal_QUADRE" xfId="94" xr:uid="{574EBC30-CEAA-4FCC-872E-E5B79241D032}"/>
    <cellStyle name="Notas" xfId="73" builtinId="10" customBuiltin="1"/>
    <cellStyle name="Porcentaje" xfId="74" builtinId="5"/>
    <cellStyle name="Porcentaje 2" xfId="75" xr:uid="{00000000-0005-0000-0000-00004B000000}"/>
    <cellStyle name="Porcentaje 3" xfId="76" xr:uid="{00000000-0005-0000-0000-00004C000000}"/>
    <cellStyle name="Porcentual 2" xfId="77" xr:uid="{00000000-0005-0000-0000-00004D000000}"/>
    <cellStyle name="Porcentual 2 2" xfId="78" xr:uid="{00000000-0005-0000-0000-00004E000000}"/>
    <cellStyle name="Porcentual 2 3" xfId="79" xr:uid="{00000000-0005-0000-0000-00004F000000}"/>
    <cellStyle name="Porcentual 3" xfId="80" xr:uid="{00000000-0005-0000-0000-000050000000}"/>
    <cellStyle name="Porcentual 3 2" xfId="81" xr:uid="{00000000-0005-0000-0000-000051000000}"/>
    <cellStyle name="Porcentual 3 3" xfId="82" xr:uid="{00000000-0005-0000-0000-000052000000}"/>
    <cellStyle name="Porcentual 4" xfId="83" xr:uid="{00000000-0005-0000-0000-000053000000}"/>
    <cellStyle name="Porcentual 5" xfId="84" xr:uid="{00000000-0005-0000-0000-000054000000}"/>
    <cellStyle name="Porcentual 5 2" xfId="85" xr:uid="{00000000-0005-0000-0000-000055000000}"/>
    <cellStyle name="Salida" xfId="86" builtinId="21" customBuiltin="1"/>
    <cellStyle name="Texto de advertencia" xfId="87" builtinId="11" customBuiltin="1"/>
    <cellStyle name="Texto explicativo" xfId="88" builtinId="53" customBuiltin="1"/>
    <cellStyle name="Título" xfId="89" builtinId="15" customBuiltin="1"/>
    <cellStyle name="Título 2" xfId="91" builtinId="17" customBuiltin="1"/>
    <cellStyle name="Título 3" xfId="92" builtinId="18" customBuiltin="1"/>
    <cellStyle name="Total" xfId="93"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5481774493809727"/>
          <c:y val="8.9851022143358869E-2"/>
          <c:w val="0.6882138596002465"/>
          <c:h val="0.80453144061217707"/>
        </c:manualLayout>
      </c:layout>
      <c:doughnutChart>
        <c:varyColors val="1"/>
        <c:ser>
          <c:idx val="0"/>
          <c:order val="0"/>
          <c:dPt>
            <c:idx val="0"/>
            <c:bubble3D val="0"/>
            <c:spPr>
              <a:solidFill>
                <a:srgbClr val="00B050"/>
              </a:solidFill>
            </c:spPr>
            <c:extLst>
              <c:ext xmlns:c16="http://schemas.microsoft.com/office/drawing/2014/chart" uri="{C3380CC4-5D6E-409C-BE32-E72D297353CC}">
                <c16:uniqueId val="{00000001-C7D0-488A-B153-F39E8026EF70}"/>
              </c:ext>
            </c:extLst>
          </c:dPt>
          <c:dPt>
            <c:idx val="1"/>
            <c:bubble3D val="0"/>
            <c:spPr>
              <a:solidFill>
                <a:srgbClr val="FFC000"/>
              </a:solidFill>
            </c:spPr>
            <c:extLst>
              <c:ext xmlns:c16="http://schemas.microsoft.com/office/drawing/2014/chart" uri="{C3380CC4-5D6E-409C-BE32-E72D297353CC}">
                <c16:uniqueId val="{00000003-C7D0-488A-B153-F39E8026EF70}"/>
              </c:ext>
            </c:extLst>
          </c:dPt>
          <c:dPt>
            <c:idx val="2"/>
            <c:bubble3D val="0"/>
            <c:spPr>
              <a:solidFill>
                <a:srgbClr val="92D050"/>
              </a:solidFill>
            </c:spPr>
            <c:extLst>
              <c:ext xmlns:c16="http://schemas.microsoft.com/office/drawing/2014/chart" uri="{C3380CC4-5D6E-409C-BE32-E72D297353CC}">
                <c16:uniqueId val="{00000005-C7D0-488A-B153-F39E8026EF70}"/>
              </c:ext>
            </c:extLst>
          </c:dPt>
          <c:dPt>
            <c:idx val="3"/>
            <c:bubble3D val="0"/>
            <c:spPr>
              <a:solidFill>
                <a:srgbClr val="FF0000"/>
              </a:solidFill>
            </c:spPr>
            <c:extLst>
              <c:ext xmlns:c16="http://schemas.microsoft.com/office/drawing/2014/chart" uri="{C3380CC4-5D6E-409C-BE32-E72D297353CC}">
                <c16:uniqueId val="{00000007-C7D0-488A-B153-F39E8026EF70}"/>
              </c:ext>
            </c:extLst>
          </c:dPt>
          <c:dPt>
            <c:idx val="4"/>
            <c:bubble3D val="0"/>
            <c:spPr>
              <a:noFill/>
            </c:spPr>
            <c:extLst>
              <c:ext xmlns:c16="http://schemas.microsoft.com/office/drawing/2014/chart" uri="{C3380CC4-5D6E-409C-BE32-E72D297353CC}">
                <c16:uniqueId val="{00000009-C7D0-488A-B153-F39E8026EF70}"/>
              </c:ext>
            </c:extLst>
          </c:dPt>
          <c:val>
            <c:numRef>
              <c:f>'AG15.1.3'!$Q$139:$Q$143</c:f>
              <c:numCache>
                <c:formatCode>General</c:formatCode>
                <c:ptCount val="5"/>
                <c:pt idx="0">
                  <c:v>1.33</c:v>
                </c:pt>
                <c:pt idx="1">
                  <c:v>1.33</c:v>
                </c:pt>
                <c:pt idx="2">
                  <c:v>0</c:v>
                </c:pt>
                <c:pt idx="3">
                  <c:v>1.33</c:v>
                </c:pt>
                <c:pt idx="4">
                  <c:v>4</c:v>
                </c:pt>
              </c:numCache>
            </c:numRef>
          </c:val>
          <c:extLst>
            <c:ext xmlns:c16="http://schemas.microsoft.com/office/drawing/2014/chart" uri="{C3380CC4-5D6E-409C-BE32-E72D297353CC}">
              <c16:uniqueId val="{0000000A-C7D0-488A-B153-F39E8026EF70}"/>
            </c:ext>
          </c:extLst>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'AG15.1.3'!$P$146</c:f>
              <c:strCache>
                <c:ptCount val="1"/>
                <c:pt idx="0">
                  <c:v>PUNTOS</c:v>
                </c:pt>
              </c:strCache>
            </c:strRef>
          </c:tx>
          <c:marker>
            <c:symbol val="none"/>
          </c:marker>
          <c:dPt>
            <c:idx val="1"/>
            <c:bubble3D val="0"/>
            <c:spPr>
              <a:ln w="28575">
                <a:solidFill>
                  <a:schemeClr val="tx1"/>
                </a:solidFill>
                <a:headEnd type="oval"/>
                <a:tailEnd type="triangle"/>
              </a:ln>
            </c:spPr>
            <c:extLst>
              <c:ext xmlns:c16="http://schemas.microsoft.com/office/drawing/2014/chart" uri="{C3380CC4-5D6E-409C-BE32-E72D297353CC}">
                <c16:uniqueId val="{0000000C-C7D0-488A-B153-F39E8026EF70}"/>
              </c:ext>
            </c:extLst>
          </c:dPt>
          <c:dPt>
            <c:idx val="2"/>
            <c:bubble3D val="0"/>
            <c:spPr>
              <a:ln>
                <a:tailEnd type="triangle"/>
              </a:ln>
            </c:spPr>
            <c:extLst>
              <c:ext xmlns:c16="http://schemas.microsoft.com/office/drawing/2014/chart" uri="{C3380CC4-5D6E-409C-BE32-E72D297353CC}">
                <c16:uniqueId val="{0000000E-C7D0-488A-B153-F39E8026EF70}"/>
              </c:ext>
            </c:extLst>
          </c:dPt>
          <c:xVal>
            <c:numRef>
              <c:f>'AG15.1.3'!$Q$147:$Q$148</c:f>
              <c:numCache>
                <c:formatCode>General</c:formatCode>
                <c:ptCount val="2"/>
                <c:pt idx="0">
                  <c:v>0</c:v>
                </c:pt>
                <c:pt idx="1">
                  <c:v>-0.29404032523230389</c:v>
                </c:pt>
              </c:numCache>
            </c:numRef>
          </c:xVal>
          <c:yVal>
            <c:numRef>
              <c:f>'AG15.1.3'!$R$147:$R$148</c:f>
              <c:numCache>
                <c:formatCode>General</c:formatCode>
                <c:ptCount val="2"/>
                <c:pt idx="0">
                  <c:v>0</c:v>
                </c:pt>
                <c:pt idx="1">
                  <c:v>0.95579301479833012</c:v>
                </c:pt>
              </c:numCache>
            </c:numRef>
          </c:yVal>
          <c:smooth val="1"/>
          <c:extLst>
            <c:ext xmlns:c16="http://schemas.microsoft.com/office/drawing/2014/chart" uri="{C3380CC4-5D6E-409C-BE32-E72D297353CC}">
              <c16:uniqueId val="{0000000F-C7D0-488A-B153-F39E8026EF70}"/>
            </c:ext>
          </c:extLst>
        </c:ser>
        <c:dLbls>
          <c:showLegendKey val="0"/>
          <c:showVal val="0"/>
          <c:showCatName val="0"/>
          <c:showSerName val="0"/>
          <c:showPercent val="0"/>
          <c:showBubbleSize val="0"/>
        </c:dLbls>
        <c:axId val="95139456"/>
        <c:axId val="95137728"/>
      </c:scatterChart>
      <c:valAx>
        <c:axId val="95139456"/>
        <c:scaling>
          <c:orientation val="minMax"/>
          <c:max val="1"/>
          <c:min val="-1"/>
        </c:scaling>
        <c:delete val="0"/>
        <c:axPos val="b"/>
        <c:majorGridlines/>
        <c:numFmt formatCode="General" sourceLinked="1"/>
        <c:majorTickMark val="out"/>
        <c:minorTickMark val="none"/>
        <c:tickLblPos val="none"/>
        <c:crossAx val="95137728"/>
        <c:crossesAt val="0"/>
        <c:crossBetween val="midCat"/>
      </c:valAx>
      <c:valAx>
        <c:axId val="95137728"/>
        <c:scaling>
          <c:orientation val="minMax"/>
          <c:max val="1"/>
          <c:min val="-1"/>
        </c:scaling>
        <c:delete val="0"/>
        <c:axPos val="l"/>
        <c:majorGridlines/>
        <c:numFmt formatCode="General" sourceLinked="1"/>
        <c:majorTickMark val="out"/>
        <c:minorTickMark val="none"/>
        <c:tickLblPos val="none"/>
        <c:spPr>
          <a:ln>
            <a:noFill/>
          </a:ln>
        </c:spPr>
        <c:crossAx val="95139456"/>
        <c:crossesAt val="0"/>
        <c:crossBetween val="midCat"/>
      </c:valA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atMod val="105000"/>
            </a:schemeClr>
          </a:solidFill>
          <a:prstDash val="solid"/>
        </a:ln>
        <a:effectLst>
          <a:outerShdw blurRad="40000" dist="20000" dir="5400000" rotWithShape="0">
            <a:srgbClr val="000000">
              <a:alpha val="38000"/>
            </a:srgbClr>
          </a:outerShdw>
        </a:effectLst>
      </c:spPr>
    </c:plotArea>
    <c:plotVisOnly val="1"/>
    <c:dispBlanksAs val="gap"/>
    <c:showDLblsOverMax val="0"/>
  </c:chart>
  <c:spPr>
    <a:noFill/>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23285</xdr:colOff>
      <xdr:row>56</xdr:row>
      <xdr:rowOff>31749</xdr:rowOff>
    </xdr:from>
    <xdr:to>
      <xdr:col>7</xdr:col>
      <xdr:colOff>148169</xdr:colOff>
      <xdr:row>56</xdr:row>
      <xdr:rowOff>152848</xdr:rowOff>
    </xdr:to>
    <xdr:sp macro="" textlink="">
      <xdr:nvSpPr>
        <xdr:cNvPr id="2" name="1 Flecha derecha">
          <a:extLst>
            <a:ext uri="{FF2B5EF4-FFF2-40B4-BE49-F238E27FC236}">
              <a16:creationId xmlns:a16="http://schemas.microsoft.com/office/drawing/2014/main" id="{00000000-0008-0000-0600-000002000000}"/>
            </a:ext>
          </a:extLst>
        </xdr:cNvPr>
        <xdr:cNvSpPr/>
      </xdr:nvSpPr>
      <xdr:spPr>
        <a:xfrm rot="10800000">
          <a:off x="8892118" y="8117416"/>
          <a:ext cx="124884" cy="121099"/>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9</xdr:col>
      <xdr:colOff>400050</xdr:colOff>
      <xdr:row>56</xdr:row>
      <xdr:rowOff>37650</xdr:rowOff>
    </xdr:from>
    <xdr:to>
      <xdr:col>9</xdr:col>
      <xdr:colOff>695325</xdr:colOff>
      <xdr:row>56</xdr:row>
      <xdr:rowOff>152850</xdr:rowOff>
    </xdr:to>
    <xdr:sp macro="" textlink="">
      <xdr:nvSpPr>
        <xdr:cNvPr id="3" name="2 Flecha derecha">
          <a:extLst>
            <a:ext uri="{FF2B5EF4-FFF2-40B4-BE49-F238E27FC236}">
              <a16:creationId xmlns:a16="http://schemas.microsoft.com/office/drawing/2014/main" id="{00000000-0008-0000-0600-000003000000}"/>
            </a:ext>
          </a:extLst>
        </xdr:cNvPr>
        <xdr:cNvSpPr/>
      </xdr:nvSpPr>
      <xdr:spPr>
        <a:xfrm>
          <a:off x="10153650" y="8143425"/>
          <a:ext cx="295275" cy="1152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8</xdr:col>
      <xdr:colOff>228600</xdr:colOff>
      <xdr:row>56</xdr:row>
      <xdr:rowOff>37650</xdr:rowOff>
    </xdr:from>
    <xdr:to>
      <xdr:col>8</xdr:col>
      <xdr:colOff>600075</xdr:colOff>
      <xdr:row>56</xdr:row>
      <xdr:rowOff>152850</xdr:rowOff>
    </xdr:to>
    <xdr:sp macro="" textlink="">
      <xdr:nvSpPr>
        <xdr:cNvPr id="4" name="3 Flecha izquierda y derecha">
          <a:extLst>
            <a:ext uri="{FF2B5EF4-FFF2-40B4-BE49-F238E27FC236}">
              <a16:creationId xmlns:a16="http://schemas.microsoft.com/office/drawing/2014/main" id="{00000000-0008-0000-0600-000004000000}"/>
            </a:ext>
          </a:extLst>
        </xdr:cNvPr>
        <xdr:cNvSpPr/>
      </xdr:nvSpPr>
      <xdr:spPr>
        <a:xfrm>
          <a:off x="9220200" y="8143425"/>
          <a:ext cx="371475" cy="115200"/>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7</xdr:col>
      <xdr:colOff>23285</xdr:colOff>
      <xdr:row>60</xdr:row>
      <xdr:rowOff>31749</xdr:rowOff>
    </xdr:from>
    <xdr:to>
      <xdr:col>7</xdr:col>
      <xdr:colOff>148169</xdr:colOff>
      <xdr:row>60</xdr:row>
      <xdr:rowOff>152848</xdr:rowOff>
    </xdr:to>
    <xdr:sp macro="" textlink="">
      <xdr:nvSpPr>
        <xdr:cNvPr id="5" name="4 Flecha derecha">
          <a:extLst>
            <a:ext uri="{FF2B5EF4-FFF2-40B4-BE49-F238E27FC236}">
              <a16:creationId xmlns:a16="http://schemas.microsoft.com/office/drawing/2014/main" id="{00000000-0008-0000-0600-000005000000}"/>
            </a:ext>
          </a:extLst>
        </xdr:cNvPr>
        <xdr:cNvSpPr/>
      </xdr:nvSpPr>
      <xdr:spPr>
        <a:xfrm rot="10800000">
          <a:off x="8892118" y="8879416"/>
          <a:ext cx="124884" cy="121099"/>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9</xdr:col>
      <xdr:colOff>400050</xdr:colOff>
      <xdr:row>60</xdr:row>
      <xdr:rowOff>37650</xdr:rowOff>
    </xdr:from>
    <xdr:to>
      <xdr:col>9</xdr:col>
      <xdr:colOff>695325</xdr:colOff>
      <xdr:row>60</xdr:row>
      <xdr:rowOff>152850</xdr:rowOff>
    </xdr:to>
    <xdr:sp macro="" textlink="">
      <xdr:nvSpPr>
        <xdr:cNvPr id="6" name="5 Flecha derecha">
          <a:extLst>
            <a:ext uri="{FF2B5EF4-FFF2-40B4-BE49-F238E27FC236}">
              <a16:creationId xmlns:a16="http://schemas.microsoft.com/office/drawing/2014/main" id="{00000000-0008-0000-0600-000006000000}"/>
            </a:ext>
          </a:extLst>
        </xdr:cNvPr>
        <xdr:cNvSpPr/>
      </xdr:nvSpPr>
      <xdr:spPr>
        <a:xfrm>
          <a:off x="10153650" y="8143425"/>
          <a:ext cx="295275" cy="1152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8</xdr:col>
      <xdr:colOff>228600</xdr:colOff>
      <xdr:row>60</xdr:row>
      <xdr:rowOff>37650</xdr:rowOff>
    </xdr:from>
    <xdr:to>
      <xdr:col>8</xdr:col>
      <xdr:colOff>600075</xdr:colOff>
      <xdr:row>60</xdr:row>
      <xdr:rowOff>152850</xdr:rowOff>
    </xdr:to>
    <xdr:sp macro="" textlink="">
      <xdr:nvSpPr>
        <xdr:cNvPr id="7" name="6 Flecha izquierda y derecha">
          <a:extLst>
            <a:ext uri="{FF2B5EF4-FFF2-40B4-BE49-F238E27FC236}">
              <a16:creationId xmlns:a16="http://schemas.microsoft.com/office/drawing/2014/main" id="{00000000-0008-0000-0600-000007000000}"/>
            </a:ext>
          </a:extLst>
        </xdr:cNvPr>
        <xdr:cNvSpPr/>
      </xdr:nvSpPr>
      <xdr:spPr>
        <a:xfrm>
          <a:off x="9220200" y="8143425"/>
          <a:ext cx="371475" cy="115200"/>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7</xdr:col>
      <xdr:colOff>23285</xdr:colOff>
      <xdr:row>64</xdr:row>
      <xdr:rowOff>31749</xdr:rowOff>
    </xdr:from>
    <xdr:to>
      <xdr:col>7</xdr:col>
      <xdr:colOff>148169</xdr:colOff>
      <xdr:row>64</xdr:row>
      <xdr:rowOff>152848</xdr:rowOff>
    </xdr:to>
    <xdr:sp macro="" textlink="">
      <xdr:nvSpPr>
        <xdr:cNvPr id="8" name="7 Flecha derecha">
          <a:extLst>
            <a:ext uri="{FF2B5EF4-FFF2-40B4-BE49-F238E27FC236}">
              <a16:creationId xmlns:a16="http://schemas.microsoft.com/office/drawing/2014/main" id="{00000000-0008-0000-0600-000008000000}"/>
            </a:ext>
          </a:extLst>
        </xdr:cNvPr>
        <xdr:cNvSpPr/>
      </xdr:nvSpPr>
      <xdr:spPr>
        <a:xfrm rot="10800000">
          <a:off x="8892118" y="9641416"/>
          <a:ext cx="124884" cy="121099"/>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9</xdr:col>
      <xdr:colOff>400050</xdr:colOff>
      <xdr:row>64</xdr:row>
      <xdr:rowOff>37650</xdr:rowOff>
    </xdr:from>
    <xdr:to>
      <xdr:col>9</xdr:col>
      <xdr:colOff>695325</xdr:colOff>
      <xdr:row>64</xdr:row>
      <xdr:rowOff>152850</xdr:rowOff>
    </xdr:to>
    <xdr:sp macro="" textlink="">
      <xdr:nvSpPr>
        <xdr:cNvPr id="9" name="8 Flecha derecha">
          <a:extLst>
            <a:ext uri="{FF2B5EF4-FFF2-40B4-BE49-F238E27FC236}">
              <a16:creationId xmlns:a16="http://schemas.microsoft.com/office/drawing/2014/main" id="{00000000-0008-0000-0600-000009000000}"/>
            </a:ext>
          </a:extLst>
        </xdr:cNvPr>
        <xdr:cNvSpPr/>
      </xdr:nvSpPr>
      <xdr:spPr>
        <a:xfrm>
          <a:off x="10153650" y="8143425"/>
          <a:ext cx="295275" cy="1152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8</xdr:col>
      <xdr:colOff>228600</xdr:colOff>
      <xdr:row>64</xdr:row>
      <xdr:rowOff>37650</xdr:rowOff>
    </xdr:from>
    <xdr:to>
      <xdr:col>8</xdr:col>
      <xdr:colOff>600075</xdr:colOff>
      <xdr:row>64</xdr:row>
      <xdr:rowOff>152850</xdr:rowOff>
    </xdr:to>
    <xdr:sp macro="" textlink="">
      <xdr:nvSpPr>
        <xdr:cNvPr id="10" name="9 Flecha izquierda y derecha">
          <a:extLst>
            <a:ext uri="{FF2B5EF4-FFF2-40B4-BE49-F238E27FC236}">
              <a16:creationId xmlns:a16="http://schemas.microsoft.com/office/drawing/2014/main" id="{00000000-0008-0000-0600-00000A000000}"/>
            </a:ext>
          </a:extLst>
        </xdr:cNvPr>
        <xdr:cNvSpPr/>
      </xdr:nvSpPr>
      <xdr:spPr>
        <a:xfrm>
          <a:off x="9220200" y="8143425"/>
          <a:ext cx="371475" cy="115200"/>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7</xdr:col>
      <xdr:colOff>23285</xdr:colOff>
      <xdr:row>69</xdr:row>
      <xdr:rowOff>31749</xdr:rowOff>
    </xdr:from>
    <xdr:to>
      <xdr:col>7</xdr:col>
      <xdr:colOff>148169</xdr:colOff>
      <xdr:row>69</xdr:row>
      <xdr:rowOff>152848</xdr:rowOff>
    </xdr:to>
    <xdr:sp macro="" textlink="">
      <xdr:nvSpPr>
        <xdr:cNvPr id="11" name="10 Flecha derecha">
          <a:extLst>
            <a:ext uri="{FF2B5EF4-FFF2-40B4-BE49-F238E27FC236}">
              <a16:creationId xmlns:a16="http://schemas.microsoft.com/office/drawing/2014/main" id="{00000000-0008-0000-0600-00000B000000}"/>
            </a:ext>
          </a:extLst>
        </xdr:cNvPr>
        <xdr:cNvSpPr/>
      </xdr:nvSpPr>
      <xdr:spPr>
        <a:xfrm rot="10800000">
          <a:off x="8892118" y="10593916"/>
          <a:ext cx="124884" cy="121099"/>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9</xdr:col>
      <xdr:colOff>400050</xdr:colOff>
      <xdr:row>69</xdr:row>
      <xdr:rowOff>37650</xdr:rowOff>
    </xdr:from>
    <xdr:to>
      <xdr:col>9</xdr:col>
      <xdr:colOff>695325</xdr:colOff>
      <xdr:row>69</xdr:row>
      <xdr:rowOff>152850</xdr:rowOff>
    </xdr:to>
    <xdr:sp macro="" textlink="">
      <xdr:nvSpPr>
        <xdr:cNvPr id="12" name="11 Flecha derecha">
          <a:extLst>
            <a:ext uri="{FF2B5EF4-FFF2-40B4-BE49-F238E27FC236}">
              <a16:creationId xmlns:a16="http://schemas.microsoft.com/office/drawing/2014/main" id="{00000000-0008-0000-0600-00000C000000}"/>
            </a:ext>
          </a:extLst>
        </xdr:cNvPr>
        <xdr:cNvSpPr/>
      </xdr:nvSpPr>
      <xdr:spPr>
        <a:xfrm>
          <a:off x="10153650" y="8143425"/>
          <a:ext cx="295275" cy="1152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8</xdr:col>
      <xdr:colOff>228600</xdr:colOff>
      <xdr:row>69</xdr:row>
      <xdr:rowOff>37650</xdr:rowOff>
    </xdr:from>
    <xdr:to>
      <xdr:col>8</xdr:col>
      <xdr:colOff>600075</xdr:colOff>
      <xdr:row>69</xdr:row>
      <xdr:rowOff>152850</xdr:rowOff>
    </xdr:to>
    <xdr:sp macro="" textlink="">
      <xdr:nvSpPr>
        <xdr:cNvPr id="13" name="12 Flecha izquierda y derecha">
          <a:extLst>
            <a:ext uri="{FF2B5EF4-FFF2-40B4-BE49-F238E27FC236}">
              <a16:creationId xmlns:a16="http://schemas.microsoft.com/office/drawing/2014/main" id="{00000000-0008-0000-0600-00000D000000}"/>
            </a:ext>
          </a:extLst>
        </xdr:cNvPr>
        <xdr:cNvSpPr/>
      </xdr:nvSpPr>
      <xdr:spPr>
        <a:xfrm>
          <a:off x="9220200" y="8143425"/>
          <a:ext cx="371475" cy="115200"/>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7</xdr:col>
      <xdr:colOff>23285</xdr:colOff>
      <xdr:row>76</xdr:row>
      <xdr:rowOff>31749</xdr:rowOff>
    </xdr:from>
    <xdr:to>
      <xdr:col>7</xdr:col>
      <xdr:colOff>148169</xdr:colOff>
      <xdr:row>76</xdr:row>
      <xdr:rowOff>152848</xdr:rowOff>
    </xdr:to>
    <xdr:sp macro="" textlink="">
      <xdr:nvSpPr>
        <xdr:cNvPr id="14" name="13 Flecha derecha">
          <a:extLst>
            <a:ext uri="{FF2B5EF4-FFF2-40B4-BE49-F238E27FC236}">
              <a16:creationId xmlns:a16="http://schemas.microsoft.com/office/drawing/2014/main" id="{00000000-0008-0000-0600-00000E000000}"/>
            </a:ext>
          </a:extLst>
        </xdr:cNvPr>
        <xdr:cNvSpPr/>
      </xdr:nvSpPr>
      <xdr:spPr>
        <a:xfrm rot="10800000">
          <a:off x="8892118" y="11948582"/>
          <a:ext cx="124884" cy="121099"/>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9</xdr:col>
      <xdr:colOff>400050</xdr:colOff>
      <xdr:row>76</xdr:row>
      <xdr:rowOff>37650</xdr:rowOff>
    </xdr:from>
    <xdr:to>
      <xdr:col>9</xdr:col>
      <xdr:colOff>695325</xdr:colOff>
      <xdr:row>76</xdr:row>
      <xdr:rowOff>152850</xdr:rowOff>
    </xdr:to>
    <xdr:sp macro="" textlink="">
      <xdr:nvSpPr>
        <xdr:cNvPr id="15" name="14 Flecha derecha">
          <a:extLst>
            <a:ext uri="{FF2B5EF4-FFF2-40B4-BE49-F238E27FC236}">
              <a16:creationId xmlns:a16="http://schemas.microsoft.com/office/drawing/2014/main" id="{00000000-0008-0000-0600-00000F000000}"/>
            </a:ext>
          </a:extLst>
        </xdr:cNvPr>
        <xdr:cNvSpPr/>
      </xdr:nvSpPr>
      <xdr:spPr>
        <a:xfrm>
          <a:off x="10153650" y="10619925"/>
          <a:ext cx="295275" cy="1152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8</xdr:col>
      <xdr:colOff>228600</xdr:colOff>
      <xdr:row>76</xdr:row>
      <xdr:rowOff>37650</xdr:rowOff>
    </xdr:from>
    <xdr:to>
      <xdr:col>8</xdr:col>
      <xdr:colOff>600075</xdr:colOff>
      <xdr:row>76</xdr:row>
      <xdr:rowOff>152850</xdr:rowOff>
    </xdr:to>
    <xdr:sp macro="" textlink="">
      <xdr:nvSpPr>
        <xdr:cNvPr id="16" name="15 Flecha izquierda y derecha">
          <a:extLst>
            <a:ext uri="{FF2B5EF4-FFF2-40B4-BE49-F238E27FC236}">
              <a16:creationId xmlns:a16="http://schemas.microsoft.com/office/drawing/2014/main" id="{00000000-0008-0000-0600-000010000000}"/>
            </a:ext>
          </a:extLst>
        </xdr:cNvPr>
        <xdr:cNvSpPr/>
      </xdr:nvSpPr>
      <xdr:spPr>
        <a:xfrm>
          <a:off x="9220200" y="10619925"/>
          <a:ext cx="371475" cy="115200"/>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7</xdr:col>
      <xdr:colOff>23285</xdr:colOff>
      <xdr:row>80</xdr:row>
      <xdr:rowOff>31749</xdr:rowOff>
    </xdr:from>
    <xdr:to>
      <xdr:col>7</xdr:col>
      <xdr:colOff>148169</xdr:colOff>
      <xdr:row>80</xdr:row>
      <xdr:rowOff>152848</xdr:rowOff>
    </xdr:to>
    <xdr:sp macro="" textlink="">
      <xdr:nvSpPr>
        <xdr:cNvPr id="17" name="16 Flecha derecha">
          <a:extLst>
            <a:ext uri="{FF2B5EF4-FFF2-40B4-BE49-F238E27FC236}">
              <a16:creationId xmlns:a16="http://schemas.microsoft.com/office/drawing/2014/main" id="{00000000-0008-0000-0600-000011000000}"/>
            </a:ext>
          </a:extLst>
        </xdr:cNvPr>
        <xdr:cNvSpPr/>
      </xdr:nvSpPr>
      <xdr:spPr>
        <a:xfrm rot="10800000">
          <a:off x="8892118" y="12710582"/>
          <a:ext cx="124884" cy="121099"/>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9</xdr:col>
      <xdr:colOff>400050</xdr:colOff>
      <xdr:row>80</xdr:row>
      <xdr:rowOff>37650</xdr:rowOff>
    </xdr:from>
    <xdr:to>
      <xdr:col>9</xdr:col>
      <xdr:colOff>695325</xdr:colOff>
      <xdr:row>80</xdr:row>
      <xdr:rowOff>152850</xdr:rowOff>
    </xdr:to>
    <xdr:sp macro="" textlink="">
      <xdr:nvSpPr>
        <xdr:cNvPr id="18" name="17 Flecha derecha">
          <a:extLst>
            <a:ext uri="{FF2B5EF4-FFF2-40B4-BE49-F238E27FC236}">
              <a16:creationId xmlns:a16="http://schemas.microsoft.com/office/drawing/2014/main" id="{00000000-0008-0000-0600-000012000000}"/>
            </a:ext>
          </a:extLst>
        </xdr:cNvPr>
        <xdr:cNvSpPr/>
      </xdr:nvSpPr>
      <xdr:spPr>
        <a:xfrm>
          <a:off x="10153650" y="10619925"/>
          <a:ext cx="295275" cy="1152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8</xdr:col>
      <xdr:colOff>228600</xdr:colOff>
      <xdr:row>80</xdr:row>
      <xdr:rowOff>37650</xdr:rowOff>
    </xdr:from>
    <xdr:to>
      <xdr:col>8</xdr:col>
      <xdr:colOff>600075</xdr:colOff>
      <xdr:row>80</xdr:row>
      <xdr:rowOff>152850</xdr:rowOff>
    </xdr:to>
    <xdr:sp macro="" textlink="">
      <xdr:nvSpPr>
        <xdr:cNvPr id="19" name="18 Flecha izquierda y derecha">
          <a:extLst>
            <a:ext uri="{FF2B5EF4-FFF2-40B4-BE49-F238E27FC236}">
              <a16:creationId xmlns:a16="http://schemas.microsoft.com/office/drawing/2014/main" id="{00000000-0008-0000-0600-000013000000}"/>
            </a:ext>
          </a:extLst>
        </xdr:cNvPr>
        <xdr:cNvSpPr/>
      </xdr:nvSpPr>
      <xdr:spPr>
        <a:xfrm>
          <a:off x="9220200" y="10619925"/>
          <a:ext cx="371475" cy="115200"/>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7</xdr:col>
      <xdr:colOff>23285</xdr:colOff>
      <xdr:row>84</xdr:row>
      <xdr:rowOff>31749</xdr:rowOff>
    </xdr:from>
    <xdr:to>
      <xdr:col>7</xdr:col>
      <xdr:colOff>148169</xdr:colOff>
      <xdr:row>84</xdr:row>
      <xdr:rowOff>152848</xdr:rowOff>
    </xdr:to>
    <xdr:sp macro="" textlink="">
      <xdr:nvSpPr>
        <xdr:cNvPr id="20" name="19 Flecha derecha">
          <a:extLst>
            <a:ext uri="{FF2B5EF4-FFF2-40B4-BE49-F238E27FC236}">
              <a16:creationId xmlns:a16="http://schemas.microsoft.com/office/drawing/2014/main" id="{00000000-0008-0000-0600-000014000000}"/>
            </a:ext>
          </a:extLst>
        </xdr:cNvPr>
        <xdr:cNvSpPr/>
      </xdr:nvSpPr>
      <xdr:spPr>
        <a:xfrm rot="10800000">
          <a:off x="8892118" y="13472582"/>
          <a:ext cx="124884" cy="121099"/>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9</xdr:col>
      <xdr:colOff>400050</xdr:colOff>
      <xdr:row>84</xdr:row>
      <xdr:rowOff>37650</xdr:rowOff>
    </xdr:from>
    <xdr:to>
      <xdr:col>9</xdr:col>
      <xdr:colOff>695325</xdr:colOff>
      <xdr:row>84</xdr:row>
      <xdr:rowOff>152850</xdr:rowOff>
    </xdr:to>
    <xdr:sp macro="" textlink="">
      <xdr:nvSpPr>
        <xdr:cNvPr id="21" name="20 Flecha derecha">
          <a:extLst>
            <a:ext uri="{FF2B5EF4-FFF2-40B4-BE49-F238E27FC236}">
              <a16:creationId xmlns:a16="http://schemas.microsoft.com/office/drawing/2014/main" id="{00000000-0008-0000-0600-000015000000}"/>
            </a:ext>
          </a:extLst>
        </xdr:cNvPr>
        <xdr:cNvSpPr/>
      </xdr:nvSpPr>
      <xdr:spPr>
        <a:xfrm>
          <a:off x="10153650" y="10619925"/>
          <a:ext cx="295275" cy="1152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8</xdr:col>
      <xdr:colOff>228600</xdr:colOff>
      <xdr:row>84</xdr:row>
      <xdr:rowOff>37650</xdr:rowOff>
    </xdr:from>
    <xdr:to>
      <xdr:col>8</xdr:col>
      <xdr:colOff>600075</xdr:colOff>
      <xdr:row>84</xdr:row>
      <xdr:rowOff>152850</xdr:rowOff>
    </xdr:to>
    <xdr:sp macro="" textlink="">
      <xdr:nvSpPr>
        <xdr:cNvPr id="22" name="21 Flecha izquierda y derecha">
          <a:extLst>
            <a:ext uri="{FF2B5EF4-FFF2-40B4-BE49-F238E27FC236}">
              <a16:creationId xmlns:a16="http://schemas.microsoft.com/office/drawing/2014/main" id="{00000000-0008-0000-0600-000016000000}"/>
            </a:ext>
          </a:extLst>
        </xdr:cNvPr>
        <xdr:cNvSpPr/>
      </xdr:nvSpPr>
      <xdr:spPr>
        <a:xfrm>
          <a:off x="9220200" y="10619925"/>
          <a:ext cx="371475" cy="115200"/>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7</xdr:col>
      <xdr:colOff>23285</xdr:colOff>
      <xdr:row>91</xdr:row>
      <xdr:rowOff>31749</xdr:rowOff>
    </xdr:from>
    <xdr:to>
      <xdr:col>7</xdr:col>
      <xdr:colOff>148169</xdr:colOff>
      <xdr:row>91</xdr:row>
      <xdr:rowOff>152848</xdr:rowOff>
    </xdr:to>
    <xdr:sp macro="" textlink="">
      <xdr:nvSpPr>
        <xdr:cNvPr id="23" name="22 Flecha derecha">
          <a:extLst>
            <a:ext uri="{FF2B5EF4-FFF2-40B4-BE49-F238E27FC236}">
              <a16:creationId xmlns:a16="http://schemas.microsoft.com/office/drawing/2014/main" id="{00000000-0008-0000-0600-000017000000}"/>
            </a:ext>
          </a:extLst>
        </xdr:cNvPr>
        <xdr:cNvSpPr/>
      </xdr:nvSpPr>
      <xdr:spPr>
        <a:xfrm rot="10800000">
          <a:off x="8892118" y="14827249"/>
          <a:ext cx="124884" cy="121099"/>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9</xdr:col>
      <xdr:colOff>400050</xdr:colOff>
      <xdr:row>91</xdr:row>
      <xdr:rowOff>37650</xdr:rowOff>
    </xdr:from>
    <xdr:to>
      <xdr:col>9</xdr:col>
      <xdr:colOff>695325</xdr:colOff>
      <xdr:row>91</xdr:row>
      <xdr:rowOff>152850</xdr:rowOff>
    </xdr:to>
    <xdr:sp macro="" textlink="">
      <xdr:nvSpPr>
        <xdr:cNvPr id="24" name="23 Flecha derecha">
          <a:extLst>
            <a:ext uri="{FF2B5EF4-FFF2-40B4-BE49-F238E27FC236}">
              <a16:creationId xmlns:a16="http://schemas.microsoft.com/office/drawing/2014/main" id="{00000000-0008-0000-0600-000018000000}"/>
            </a:ext>
          </a:extLst>
        </xdr:cNvPr>
        <xdr:cNvSpPr/>
      </xdr:nvSpPr>
      <xdr:spPr>
        <a:xfrm>
          <a:off x="10153650" y="13477425"/>
          <a:ext cx="295275" cy="1152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8</xdr:col>
      <xdr:colOff>228600</xdr:colOff>
      <xdr:row>91</xdr:row>
      <xdr:rowOff>37650</xdr:rowOff>
    </xdr:from>
    <xdr:to>
      <xdr:col>8</xdr:col>
      <xdr:colOff>600075</xdr:colOff>
      <xdr:row>91</xdr:row>
      <xdr:rowOff>152850</xdr:rowOff>
    </xdr:to>
    <xdr:sp macro="" textlink="">
      <xdr:nvSpPr>
        <xdr:cNvPr id="25" name="24 Flecha izquierda y derecha">
          <a:extLst>
            <a:ext uri="{FF2B5EF4-FFF2-40B4-BE49-F238E27FC236}">
              <a16:creationId xmlns:a16="http://schemas.microsoft.com/office/drawing/2014/main" id="{00000000-0008-0000-0600-000019000000}"/>
            </a:ext>
          </a:extLst>
        </xdr:cNvPr>
        <xdr:cNvSpPr/>
      </xdr:nvSpPr>
      <xdr:spPr>
        <a:xfrm>
          <a:off x="9220200" y="13477425"/>
          <a:ext cx="371475" cy="115200"/>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7</xdr:col>
      <xdr:colOff>23285</xdr:colOff>
      <xdr:row>96</xdr:row>
      <xdr:rowOff>31749</xdr:rowOff>
    </xdr:from>
    <xdr:to>
      <xdr:col>7</xdr:col>
      <xdr:colOff>148169</xdr:colOff>
      <xdr:row>96</xdr:row>
      <xdr:rowOff>152848</xdr:rowOff>
    </xdr:to>
    <xdr:sp macro="" textlink="">
      <xdr:nvSpPr>
        <xdr:cNvPr id="29" name="28 Flecha derecha">
          <a:extLst>
            <a:ext uri="{FF2B5EF4-FFF2-40B4-BE49-F238E27FC236}">
              <a16:creationId xmlns:a16="http://schemas.microsoft.com/office/drawing/2014/main" id="{00000000-0008-0000-0600-00001D000000}"/>
            </a:ext>
          </a:extLst>
        </xdr:cNvPr>
        <xdr:cNvSpPr/>
      </xdr:nvSpPr>
      <xdr:spPr>
        <a:xfrm rot="10800000">
          <a:off x="8892118" y="15779749"/>
          <a:ext cx="124884" cy="121099"/>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9</xdr:col>
      <xdr:colOff>400050</xdr:colOff>
      <xdr:row>96</xdr:row>
      <xdr:rowOff>37650</xdr:rowOff>
    </xdr:from>
    <xdr:to>
      <xdr:col>9</xdr:col>
      <xdr:colOff>695325</xdr:colOff>
      <xdr:row>96</xdr:row>
      <xdr:rowOff>152850</xdr:rowOff>
    </xdr:to>
    <xdr:sp macro="" textlink="">
      <xdr:nvSpPr>
        <xdr:cNvPr id="30" name="29 Flecha derecha">
          <a:extLst>
            <a:ext uri="{FF2B5EF4-FFF2-40B4-BE49-F238E27FC236}">
              <a16:creationId xmlns:a16="http://schemas.microsoft.com/office/drawing/2014/main" id="{00000000-0008-0000-0600-00001E000000}"/>
            </a:ext>
          </a:extLst>
        </xdr:cNvPr>
        <xdr:cNvSpPr/>
      </xdr:nvSpPr>
      <xdr:spPr>
        <a:xfrm>
          <a:off x="10153650" y="13477425"/>
          <a:ext cx="295275" cy="1152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8</xdr:col>
      <xdr:colOff>228600</xdr:colOff>
      <xdr:row>96</xdr:row>
      <xdr:rowOff>37650</xdr:rowOff>
    </xdr:from>
    <xdr:to>
      <xdr:col>8</xdr:col>
      <xdr:colOff>600075</xdr:colOff>
      <xdr:row>96</xdr:row>
      <xdr:rowOff>152850</xdr:rowOff>
    </xdr:to>
    <xdr:sp macro="" textlink="">
      <xdr:nvSpPr>
        <xdr:cNvPr id="31" name="30 Flecha izquierda y derecha">
          <a:extLst>
            <a:ext uri="{FF2B5EF4-FFF2-40B4-BE49-F238E27FC236}">
              <a16:creationId xmlns:a16="http://schemas.microsoft.com/office/drawing/2014/main" id="{00000000-0008-0000-0600-00001F000000}"/>
            </a:ext>
          </a:extLst>
        </xdr:cNvPr>
        <xdr:cNvSpPr/>
      </xdr:nvSpPr>
      <xdr:spPr>
        <a:xfrm>
          <a:off x="9220200" y="13477425"/>
          <a:ext cx="371475" cy="115200"/>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7</xdr:col>
      <xdr:colOff>23285</xdr:colOff>
      <xdr:row>104</xdr:row>
      <xdr:rowOff>31749</xdr:rowOff>
    </xdr:from>
    <xdr:to>
      <xdr:col>7</xdr:col>
      <xdr:colOff>148169</xdr:colOff>
      <xdr:row>104</xdr:row>
      <xdr:rowOff>152848</xdr:rowOff>
    </xdr:to>
    <xdr:sp macro="" textlink="">
      <xdr:nvSpPr>
        <xdr:cNvPr id="32" name="31 Flecha derecha">
          <a:extLst>
            <a:ext uri="{FF2B5EF4-FFF2-40B4-BE49-F238E27FC236}">
              <a16:creationId xmlns:a16="http://schemas.microsoft.com/office/drawing/2014/main" id="{00000000-0008-0000-0600-000020000000}"/>
            </a:ext>
          </a:extLst>
        </xdr:cNvPr>
        <xdr:cNvSpPr/>
      </xdr:nvSpPr>
      <xdr:spPr>
        <a:xfrm rot="10800000">
          <a:off x="8892118" y="17303749"/>
          <a:ext cx="124884" cy="121099"/>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9</xdr:col>
      <xdr:colOff>400050</xdr:colOff>
      <xdr:row>104</xdr:row>
      <xdr:rowOff>37650</xdr:rowOff>
    </xdr:from>
    <xdr:to>
      <xdr:col>9</xdr:col>
      <xdr:colOff>695325</xdr:colOff>
      <xdr:row>104</xdr:row>
      <xdr:rowOff>152850</xdr:rowOff>
    </xdr:to>
    <xdr:sp macro="" textlink="">
      <xdr:nvSpPr>
        <xdr:cNvPr id="33" name="32 Flecha derecha">
          <a:extLst>
            <a:ext uri="{FF2B5EF4-FFF2-40B4-BE49-F238E27FC236}">
              <a16:creationId xmlns:a16="http://schemas.microsoft.com/office/drawing/2014/main" id="{00000000-0008-0000-0600-000021000000}"/>
            </a:ext>
          </a:extLst>
        </xdr:cNvPr>
        <xdr:cNvSpPr/>
      </xdr:nvSpPr>
      <xdr:spPr>
        <a:xfrm>
          <a:off x="10153650" y="13477425"/>
          <a:ext cx="295275" cy="1152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8</xdr:col>
      <xdr:colOff>228600</xdr:colOff>
      <xdr:row>104</xdr:row>
      <xdr:rowOff>37650</xdr:rowOff>
    </xdr:from>
    <xdr:to>
      <xdr:col>8</xdr:col>
      <xdr:colOff>600075</xdr:colOff>
      <xdr:row>104</xdr:row>
      <xdr:rowOff>152850</xdr:rowOff>
    </xdr:to>
    <xdr:sp macro="" textlink="">
      <xdr:nvSpPr>
        <xdr:cNvPr id="34" name="33 Flecha izquierda y derecha">
          <a:extLst>
            <a:ext uri="{FF2B5EF4-FFF2-40B4-BE49-F238E27FC236}">
              <a16:creationId xmlns:a16="http://schemas.microsoft.com/office/drawing/2014/main" id="{00000000-0008-0000-0600-000022000000}"/>
            </a:ext>
          </a:extLst>
        </xdr:cNvPr>
        <xdr:cNvSpPr/>
      </xdr:nvSpPr>
      <xdr:spPr>
        <a:xfrm>
          <a:off x="9220200" y="13477425"/>
          <a:ext cx="371475" cy="115200"/>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7</xdr:col>
      <xdr:colOff>23285</xdr:colOff>
      <xdr:row>108</xdr:row>
      <xdr:rowOff>31749</xdr:rowOff>
    </xdr:from>
    <xdr:to>
      <xdr:col>7</xdr:col>
      <xdr:colOff>148169</xdr:colOff>
      <xdr:row>108</xdr:row>
      <xdr:rowOff>152848</xdr:rowOff>
    </xdr:to>
    <xdr:sp macro="" textlink="">
      <xdr:nvSpPr>
        <xdr:cNvPr id="35" name="34 Flecha derecha">
          <a:extLst>
            <a:ext uri="{FF2B5EF4-FFF2-40B4-BE49-F238E27FC236}">
              <a16:creationId xmlns:a16="http://schemas.microsoft.com/office/drawing/2014/main" id="{00000000-0008-0000-0600-000023000000}"/>
            </a:ext>
          </a:extLst>
        </xdr:cNvPr>
        <xdr:cNvSpPr/>
      </xdr:nvSpPr>
      <xdr:spPr>
        <a:xfrm rot="10800000">
          <a:off x="8892118" y="18065749"/>
          <a:ext cx="124884" cy="121099"/>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9</xdr:col>
      <xdr:colOff>400050</xdr:colOff>
      <xdr:row>108</xdr:row>
      <xdr:rowOff>37650</xdr:rowOff>
    </xdr:from>
    <xdr:to>
      <xdr:col>9</xdr:col>
      <xdr:colOff>695325</xdr:colOff>
      <xdr:row>108</xdr:row>
      <xdr:rowOff>152850</xdr:rowOff>
    </xdr:to>
    <xdr:sp macro="" textlink="">
      <xdr:nvSpPr>
        <xdr:cNvPr id="36" name="35 Flecha derecha">
          <a:extLst>
            <a:ext uri="{FF2B5EF4-FFF2-40B4-BE49-F238E27FC236}">
              <a16:creationId xmlns:a16="http://schemas.microsoft.com/office/drawing/2014/main" id="{00000000-0008-0000-0600-000024000000}"/>
            </a:ext>
          </a:extLst>
        </xdr:cNvPr>
        <xdr:cNvSpPr/>
      </xdr:nvSpPr>
      <xdr:spPr>
        <a:xfrm>
          <a:off x="10153650" y="13477425"/>
          <a:ext cx="295275" cy="1152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8</xdr:col>
      <xdr:colOff>228600</xdr:colOff>
      <xdr:row>108</xdr:row>
      <xdr:rowOff>37650</xdr:rowOff>
    </xdr:from>
    <xdr:to>
      <xdr:col>8</xdr:col>
      <xdr:colOff>600075</xdr:colOff>
      <xdr:row>108</xdr:row>
      <xdr:rowOff>152850</xdr:rowOff>
    </xdr:to>
    <xdr:sp macro="" textlink="">
      <xdr:nvSpPr>
        <xdr:cNvPr id="37" name="36 Flecha izquierda y derecha">
          <a:extLst>
            <a:ext uri="{FF2B5EF4-FFF2-40B4-BE49-F238E27FC236}">
              <a16:creationId xmlns:a16="http://schemas.microsoft.com/office/drawing/2014/main" id="{00000000-0008-0000-0600-000025000000}"/>
            </a:ext>
          </a:extLst>
        </xdr:cNvPr>
        <xdr:cNvSpPr/>
      </xdr:nvSpPr>
      <xdr:spPr>
        <a:xfrm>
          <a:off x="9220200" y="13477425"/>
          <a:ext cx="371475" cy="115200"/>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7</xdr:col>
      <xdr:colOff>23285</xdr:colOff>
      <xdr:row>115</xdr:row>
      <xdr:rowOff>31749</xdr:rowOff>
    </xdr:from>
    <xdr:to>
      <xdr:col>7</xdr:col>
      <xdr:colOff>148169</xdr:colOff>
      <xdr:row>115</xdr:row>
      <xdr:rowOff>152848</xdr:rowOff>
    </xdr:to>
    <xdr:sp macro="" textlink="">
      <xdr:nvSpPr>
        <xdr:cNvPr id="38" name="37 Flecha derecha">
          <a:extLst>
            <a:ext uri="{FF2B5EF4-FFF2-40B4-BE49-F238E27FC236}">
              <a16:creationId xmlns:a16="http://schemas.microsoft.com/office/drawing/2014/main" id="{00000000-0008-0000-0600-000026000000}"/>
            </a:ext>
          </a:extLst>
        </xdr:cNvPr>
        <xdr:cNvSpPr/>
      </xdr:nvSpPr>
      <xdr:spPr>
        <a:xfrm rot="10800000">
          <a:off x="8892118" y="19420416"/>
          <a:ext cx="124884" cy="121099"/>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9</xdr:col>
      <xdr:colOff>400050</xdr:colOff>
      <xdr:row>115</xdr:row>
      <xdr:rowOff>37650</xdr:rowOff>
    </xdr:from>
    <xdr:to>
      <xdr:col>9</xdr:col>
      <xdr:colOff>695325</xdr:colOff>
      <xdr:row>115</xdr:row>
      <xdr:rowOff>152850</xdr:rowOff>
    </xdr:to>
    <xdr:sp macro="" textlink="">
      <xdr:nvSpPr>
        <xdr:cNvPr id="39" name="38 Flecha derecha">
          <a:extLst>
            <a:ext uri="{FF2B5EF4-FFF2-40B4-BE49-F238E27FC236}">
              <a16:creationId xmlns:a16="http://schemas.microsoft.com/office/drawing/2014/main" id="{00000000-0008-0000-0600-000027000000}"/>
            </a:ext>
          </a:extLst>
        </xdr:cNvPr>
        <xdr:cNvSpPr/>
      </xdr:nvSpPr>
      <xdr:spPr>
        <a:xfrm>
          <a:off x="10153650" y="19763925"/>
          <a:ext cx="295275" cy="1152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8</xdr:col>
      <xdr:colOff>228600</xdr:colOff>
      <xdr:row>115</xdr:row>
      <xdr:rowOff>37650</xdr:rowOff>
    </xdr:from>
    <xdr:to>
      <xdr:col>8</xdr:col>
      <xdr:colOff>600075</xdr:colOff>
      <xdr:row>115</xdr:row>
      <xdr:rowOff>152850</xdr:rowOff>
    </xdr:to>
    <xdr:sp macro="" textlink="">
      <xdr:nvSpPr>
        <xdr:cNvPr id="40" name="39 Flecha izquierda y derecha">
          <a:extLst>
            <a:ext uri="{FF2B5EF4-FFF2-40B4-BE49-F238E27FC236}">
              <a16:creationId xmlns:a16="http://schemas.microsoft.com/office/drawing/2014/main" id="{00000000-0008-0000-0600-000028000000}"/>
            </a:ext>
          </a:extLst>
        </xdr:cNvPr>
        <xdr:cNvSpPr/>
      </xdr:nvSpPr>
      <xdr:spPr>
        <a:xfrm>
          <a:off x="9220200" y="19763925"/>
          <a:ext cx="371475" cy="115200"/>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7</xdr:col>
      <xdr:colOff>23285</xdr:colOff>
      <xdr:row>119</xdr:row>
      <xdr:rowOff>31749</xdr:rowOff>
    </xdr:from>
    <xdr:to>
      <xdr:col>7</xdr:col>
      <xdr:colOff>148169</xdr:colOff>
      <xdr:row>119</xdr:row>
      <xdr:rowOff>152848</xdr:rowOff>
    </xdr:to>
    <xdr:sp macro="" textlink="">
      <xdr:nvSpPr>
        <xdr:cNvPr id="41" name="40 Flecha derecha">
          <a:extLst>
            <a:ext uri="{FF2B5EF4-FFF2-40B4-BE49-F238E27FC236}">
              <a16:creationId xmlns:a16="http://schemas.microsoft.com/office/drawing/2014/main" id="{00000000-0008-0000-0600-000029000000}"/>
            </a:ext>
          </a:extLst>
        </xdr:cNvPr>
        <xdr:cNvSpPr/>
      </xdr:nvSpPr>
      <xdr:spPr>
        <a:xfrm rot="10800000">
          <a:off x="8892118" y="20182416"/>
          <a:ext cx="124884" cy="121099"/>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9</xdr:col>
      <xdr:colOff>400050</xdr:colOff>
      <xdr:row>119</xdr:row>
      <xdr:rowOff>37650</xdr:rowOff>
    </xdr:from>
    <xdr:to>
      <xdr:col>9</xdr:col>
      <xdr:colOff>695325</xdr:colOff>
      <xdr:row>119</xdr:row>
      <xdr:rowOff>152850</xdr:rowOff>
    </xdr:to>
    <xdr:sp macro="" textlink="">
      <xdr:nvSpPr>
        <xdr:cNvPr id="42" name="41 Flecha derecha">
          <a:extLst>
            <a:ext uri="{FF2B5EF4-FFF2-40B4-BE49-F238E27FC236}">
              <a16:creationId xmlns:a16="http://schemas.microsoft.com/office/drawing/2014/main" id="{00000000-0008-0000-0600-00002A000000}"/>
            </a:ext>
          </a:extLst>
        </xdr:cNvPr>
        <xdr:cNvSpPr/>
      </xdr:nvSpPr>
      <xdr:spPr>
        <a:xfrm>
          <a:off x="10153650" y="19763925"/>
          <a:ext cx="295275" cy="1152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8</xdr:col>
      <xdr:colOff>228600</xdr:colOff>
      <xdr:row>119</xdr:row>
      <xdr:rowOff>37650</xdr:rowOff>
    </xdr:from>
    <xdr:to>
      <xdr:col>8</xdr:col>
      <xdr:colOff>600075</xdr:colOff>
      <xdr:row>119</xdr:row>
      <xdr:rowOff>152850</xdr:rowOff>
    </xdr:to>
    <xdr:sp macro="" textlink="">
      <xdr:nvSpPr>
        <xdr:cNvPr id="43" name="42 Flecha izquierda y derecha">
          <a:extLst>
            <a:ext uri="{FF2B5EF4-FFF2-40B4-BE49-F238E27FC236}">
              <a16:creationId xmlns:a16="http://schemas.microsoft.com/office/drawing/2014/main" id="{00000000-0008-0000-0600-00002B000000}"/>
            </a:ext>
          </a:extLst>
        </xdr:cNvPr>
        <xdr:cNvSpPr/>
      </xdr:nvSpPr>
      <xdr:spPr>
        <a:xfrm>
          <a:off x="9220200" y="19763925"/>
          <a:ext cx="371475" cy="115200"/>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7</xdr:col>
      <xdr:colOff>23285</xdr:colOff>
      <xdr:row>126</xdr:row>
      <xdr:rowOff>31749</xdr:rowOff>
    </xdr:from>
    <xdr:to>
      <xdr:col>7</xdr:col>
      <xdr:colOff>148169</xdr:colOff>
      <xdr:row>126</xdr:row>
      <xdr:rowOff>152848</xdr:rowOff>
    </xdr:to>
    <xdr:sp macro="" textlink="">
      <xdr:nvSpPr>
        <xdr:cNvPr id="47" name="46 Flecha derecha">
          <a:extLst>
            <a:ext uri="{FF2B5EF4-FFF2-40B4-BE49-F238E27FC236}">
              <a16:creationId xmlns:a16="http://schemas.microsoft.com/office/drawing/2014/main" id="{00000000-0008-0000-0600-00002F000000}"/>
            </a:ext>
          </a:extLst>
        </xdr:cNvPr>
        <xdr:cNvSpPr/>
      </xdr:nvSpPr>
      <xdr:spPr>
        <a:xfrm rot="10800000">
          <a:off x="8892118" y="21537082"/>
          <a:ext cx="124884" cy="121099"/>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9</xdr:col>
      <xdr:colOff>400050</xdr:colOff>
      <xdr:row>126</xdr:row>
      <xdr:rowOff>37650</xdr:rowOff>
    </xdr:from>
    <xdr:to>
      <xdr:col>9</xdr:col>
      <xdr:colOff>695325</xdr:colOff>
      <xdr:row>126</xdr:row>
      <xdr:rowOff>152850</xdr:rowOff>
    </xdr:to>
    <xdr:sp macro="" textlink="">
      <xdr:nvSpPr>
        <xdr:cNvPr id="48" name="47 Flecha derecha">
          <a:extLst>
            <a:ext uri="{FF2B5EF4-FFF2-40B4-BE49-F238E27FC236}">
              <a16:creationId xmlns:a16="http://schemas.microsoft.com/office/drawing/2014/main" id="{00000000-0008-0000-0600-000030000000}"/>
            </a:ext>
          </a:extLst>
        </xdr:cNvPr>
        <xdr:cNvSpPr/>
      </xdr:nvSpPr>
      <xdr:spPr>
        <a:xfrm>
          <a:off x="10153650" y="21097425"/>
          <a:ext cx="295275" cy="1152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8</xdr:col>
      <xdr:colOff>228600</xdr:colOff>
      <xdr:row>126</xdr:row>
      <xdr:rowOff>37650</xdr:rowOff>
    </xdr:from>
    <xdr:to>
      <xdr:col>8</xdr:col>
      <xdr:colOff>600075</xdr:colOff>
      <xdr:row>126</xdr:row>
      <xdr:rowOff>152850</xdr:rowOff>
    </xdr:to>
    <xdr:sp macro="" textlink="">
      <xdr:nvSpPr>
        <xdr:cNvPr id="49" name="48 Flecha izquierda y derecha">
          <a:extLst>
            <a:ext uri="{FF2B5EF4-FFF2-40B4-BE49-F238E27FC236}">
              <a16:creationId xmlns:a16="http://schemas.microsoft.com/office/drawing/2014/main" id="{00000000-0008-0000-0600-000031000000}"/>
            </a:ext>
          </a:extLst>
        </xdr:cNvPr>
        <xdr:cNvSpPr/>
      </xdr:nvSpPr>
      <xdr:spPr>
        <a:xfrm>
          <a:off x="9220200" y="21097425"/>
          <a:ext cx="371475" cy="115200"/>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7</xdr:col>
      <xdr:colOff>23285</xdr:colOff>
      <xdr:row>130</xdr:row>
      <xdr:rowOff>31749</xdr:rowOff>
    </xdr:from>
    <xdr:to>
      <xdr:col>7</xdr:col>
      <xdr:colOff>148169</xdr:colOff>
      <xdr:row>130</xdr:row>
      <xdr:rowOff>152848</xdr:rowOff>
    </xdr:to>
    <xdr:sp macro="" textlink="">
      <xdr:nvSpPr>
        <xdr:cNvPr id="50" name="49 Flecha derecha">
          <a:extLst>
            <a:ext uri="{FF2B5EF4-FFF2-40B4-BE49-F238E27FC236}">
              <a16:creationId xmlns:a16="http://schemas.microsoft.com/office/drawing/2014/main" id="{00000000-0008-0000-0600-000032000000}"/>
            </a:ext>
          </a:extLst>
        </xdr:cNvPr>
        <xdr:cNvSpPr/>
      </xdr:nvSpPr>
      <xdr:spPr>
        <a:xfrm rot="10800000">
          <a:off x="8892118" y="22299082"/>
          <a:ext cx="124884" cy="121099"/>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9</xdr:col>
      <xdr:colOff>400050</xdr:colOff>
      <xdr:row>130</xdr:row>
      <xdr:rowOff>37650</xdr:rowOff>
    </xdr:from>
    <xdr:to>
      <xdr:col>9</xdr:col>
      <xdr:colOff>695325</xdr:colOff>
      <xdr:row>130</xdr:row>
      <xdr:rowOff>152850</xdr:rowOff>
    </xdr:to>
    <xdr:sp macro="" textlink="">
      <xdr:nvSpPr>
        <xdr:cNvPr id="51" name="50 Flecha derecha">
          <a:extLst>
            <a:ext uri="{FF2B5EF4-FFF2-40B4-BE49-F238E27FC236}">
              <a16:creationId xmlns:a16="http://schemas.microsoft.com/office/drawing/2014/main" id="{00000000-0008-0000-0600-000033000000}"/>
            </a:ext>
          </a:extLst>
        </xdr:cNvPr>
        <xdr:cNvSpPr/>
      </xdr:nvSpPr>
      <xdr:spPr>
        <a:xfrm>
          <a:off x="10153650" y="21097425"/>
          <a:ext cx="295275" cy="1152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8</xdr:col>
      <xdr:colOff>228600</xdr:colOff>
      <xdr:row>130</xdr:row>
      <xdr:rowOff>37650</xdr:rowOff>
    </xdr:from>
    <xdr:to>
      <xdr:col>8</xdr:col>
      <xdr:colOff>600075</xdr:colOff>
      <xdr:row>130</xdr:row>
      <xdr:rowOff>152850</xdr:rowOff>
    </xdr:to>
    <xdr:sp macro="" textlink="">
      <xdr:nvSpPr>
        <xdr:cNvPr id="52" name="51 Flecha izquierda y derecha">
          <a:extLst>
            <a:ext uri="{FF2B5EF4-FFF2-40B4-BE49-F238E27FC236}">
              <a16:creationId xmlns:a16="http://schemas.microsoft.com/office/drawing/2014/main" id="{00000000-0008-0000-0600-000034000000}"/>
            </a:ext>
          </a:extLst>
        </xdr:cNvPr>
        <xdr:cNvSpPr/>
      </xdr:nvSpPr>
      <xdr:spPr>
        <a:xfrm>
          <a:off x="9220200" y="21097425"/>
          <a:ext cx="371475" cy="115200"/>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editAs="oneCell">
    <xdr:from>
      <xdr:col>5</xdr:col>
      <xdr:colOff>0</xdr:colOff>
      <xdr:row>137</xdr:row>
      <xdr:rowOff>0</xdr:rowOff>
    </xdr:from>
    <xdr:to>
      <xdr:col>14</xdr:col>
      <xdr:colOff>476250</xdr:colOff>
      <xdr:row>158</xdr:row>
      <xdr:rowOff>9525</xdr:rowOff>
    </xdr:to>
    <xdr:graphicFrame macro="">
      <xdr:nvGraphicFramePr>
        <xdr:cNvPr id="1284" name="5 Gráfico">
          <a:extLst>
            <a:ext uri="{FF2B5EF4-FFF2-40B4-BE49-F238E27FC236}">
              <a16:creationId xmlns:a16="http://schemas.microsoft.com/office/drawing/2014/main" id="{00000000-0008-0000-0600-000004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23285</xdr:colOff>
      <xdr:row>100</xdr:row>
      <xdr:rowOff>31749</xdr:rowOff>
    </xdr:from>
    <xdr:to>
      <xdr:col>7</xdr:col>
      <xdr:colOff>148169</xdr:colOff>
      <xdr:row>100</xdr:row>
      <xdr:rowOff>152848</xdr:rowOff>
    </xdr:to>
    <xdr:sp macro="" textlink="">
      <xdr:nvSpPr>
        <xdr:cNvPr id="55" name="54 Flecha derecha">
          <a:extLst>
            <a:ext uri="{FF2B5EF4-FFF2-40B4-BE49-F238E27FC236}">
              <a16:creationId xmlns:a16="http://schemas.microsoft.com/office/drawing/2014/main" id="{00000000-0008-0000-0600-000037000000}"/>
            </a:ext>
          </a:extLst>
        </xdr:cNvPr>
        <xdr:cNvSpPr/>
      </xdr:nvSpPr>
      <xdr:spPr>
        <a:xfrm rot="10800000">
          <a:off x="8892118" y="16541749"/>
          <a:ext cx="124884" cy="121099"/>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9</xdr:col>
      <xdr:colOff>400050</xdr:colOff>
      <xdr:row>100</xdr:row>
      <xdr:rowOff>37650</xdr:rowOff>
    </xdr:from>
    <xdr:to>
      <xdr:col>9</xdr:col>
      <xdr:colOff>695325</xdr:colOff>
      <xdr:row>100</xdr:row>
      <xdr:rowOff>152850</xdr:rowOff>
    </xdr:to>
    <xdr:sp macro="" textlink="">
      <xdr:nvSpPr>
        <xdr:cNvPr id="56" name="55 Flecha derecha">
          <a:extLst>
            <a:ext uri="{FF2B5EF4-FFF2-40B4-BE49-F238E27FC236}">
              <a16:creationId xmlns:a16="http://schemas.microsoft.com/office/drawing/2014/main" id="{00000000-0008-0000-0600-000038000000}"/>
            </a:ext>
          </a:extLst>
        </xdr:cNvPr>
        <xdr:cNvSpPr/>
      </xdr:nvSpPr>
      <xdr:spPr>
        <a:xfrm>
          <a:off x="10153650" y="16715925"/>
          <a:ext cx="295275" cy="1152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8</xdr:col>
      <xdr:colOff>228600</xdr:colOff>
      <xdr:row>100</xdr:row>
      <xdr:rowOff>37650</xdr:rowOff>
    </xdr:from>
    <xdr:to>
      <xdr:col>8</xdr:col>
      <xdr:colOff>600075</xdr:colOff>
      <xdr:row>100</xdr:row>
      <xdr:rowOff>152850</xdr:rowOff>
    </xdr:to>
    <xdr:sp macro="" textlink="">
      <xdr:nvSpPr>
        <xdr:cNvPr id="57" name="56 Flecha izquierda y derecha">
          <a:extLst>
            <a:ext uri="{FF2B5EF4-FFF2-40B4-BE49-F238E27FC236}">
              <a16:creationId xmlns:a16="http://schemas.microsoft.com/office/drawing/2014/main" id="{00000000-0008-0000-0600-000039000000}"/>
            </a:ext>
          </a:extLst>
        </xdr:cNvPr>
        <xdr:cNvSpPr/>
      </xdr:nvSpPr>
      <xdr:spPr>
        <a:xfrm>
          <a:off x="9220200" y="16715925"/>
          <a:ext cx="371475" cy="115200"/>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s-ES"/>
        </a:p>
      </xdr:txBody>
    </xdr:sp>
    <xdr:clientData/>
  </xdr:twoCellAnchor>
  <xdr:twoCellAnchor>
    <xdr:from>
      <xdr:col>5</xdr:col>
      <xdr:colOff>104775</xdr:colOff>
      <xdr:row>57</xdr:row>
      <xdr:rowOff>38100</xdr:rowOff>
    </xdr:from>
    <xdr:to>
      <xdr:col>5</xdr:col>
      <xdr:colOff>695325</xdr:colOff>
      <xdr:row>57</xdr:row>
      <xdr:rowOff>171450</xdr:rowOff>
    </xdr:to>
    <xdr:sp macro="" textlink="">
      <xdr:nvSpPr>
        <xdr:cNvPr id="62" name="61 Pentágono">
          <a:extLst>
            <a:ext uri="{FF2B5EF4-FFF2-40B4-BE49-F238E27FC236}">
              <a16:creationId xmlns:a16="http://schemas.microsoft.com/office/drawing/2014/main" id="{00000000-0008-0000-0600-00003E000000}"/>
            </a:ext>
          </a:extLst>
        </xdr:cNvPr>
        <xdr:cNvSpPr/>
      </xdr:nvSpPr>
      <xdr:spPr>
        <a:xfrm>
          <a:off x="7258050" y="13449300"/>
          <a:ext cx="590550" cy="133350"/>
        </a:xfrm>
        <a:prstGeom prst="homePlate">
          <a:avLst/>
        </a:prstGeom>
      </xdr:spPr>
      <xdr:style>
        <a:lnRef idx="1">
          <a:schemeClr val="dk1"/>
        </a:lnRef>
        <a:fillRef idx="2">
          <a:schemeClr val="dk1"/>
        </a:fillRef>
        <a:effectRef idx="1">
          <a:schemeClr val="dk1"/>
        </a:effectRef>
        <a:fontRef idx="minor">
          <a:schemeClr val="dk1"/>
        </a:fontRef>
      </xdr:style>
      <xdr:txBody>
        <a:bodyPr vertOverflow="clip" horzOverflow="clip" wrap="none" rtlCol="0" anchor="ctr" anchorCtr="1"/>
        <a:lstStyle/>
        <a:p>
          <a:pPr algn="l"/>
          <a:r>
            <a:rPr lang="es-ES" sz="1100"/>
            <a:t>RIESGO</a:t>
          </a:r>
        </a:p>
      </xdr:txBody>
    </xdr:sp>
    <xdr:clientData/>
  </xdr:twoCellAnchor>
  <xdr:twoCellAnchor>
    <xdr:from>
      <xdr:col>5</xdr:col>
      <xdr:colOff>104775</xdr:colOff>
      <xdr:row>61</xdr:row>
      <xdr:rowOff>38100</xdr:rowOff>
    </xdr:from>
    <xdr:to>
      <xdr:col>5</xdr:col>
      <xdr:colOff>695325</xdr:colOff>
      <xdr:row>61</xdr:row>
      <xdr:rowOff>171450</xdr:rowOff>
    </xdr:to>
    <xdr:sp macro="" textlink="">
      <xdr:nvSpPr>
        <xdr:cNvPr id="63" name="62 Pentágono">
          <a:extLst>
            <a:ext uri="{FF2B5EF4-FFF2-40B4-BE49-F238E27FC236}">
              <a16:creationId xmlns:a16="http://schemas.microsoft.com/office/drawing/2014/main" id="{00000000-0008-0000-0600-00003F000000}"/>
            </a:ext>
          </a:extLst>
        </xdr:cNvPr>
        <xdr:cNvSpPr/>
      </xdr:nvSpPr>
      <xdr:spPr>
        <a:xfrm>
          <a:off x="7258050" y="13449300"/>
          <a:ext cx="590550" cy="133350"/>
        </a:xfrm>
        <a:prstGeom prst="homePlate">
          <a:avLst/>
        </a:prstGeom>
      </xdr:spPr>
      <xdr:style>
        <a:lnRef idx="1">
          <a:schemeClr val="dk1"/>
        </a:lnRef>
        <a:fillRef idx="2">
          <a:schemeClr val="dk1"/>
        </a:fillRef>
        <a:effectRef idx="1">
          <a:schemeClr val="dk1"/>
        </a:effectRef>
        <a:fontRef idx="minor">
          <a:schemeClr val="dk1"/>
        </a:fontRef>
      </xdr:style>
      <xdr:txBody>
        <a:bodyPr vertOverflow="clip" horzOverflow="clip" wrap="none" rtlCol="0" anchor="ctr" anchorCtr="1"/>
        <a:lstStyle/>
        <a:p>
          <a:pPr algn="l"/>
          <a:r>
            <a:rPr lang="es-ES" sz="1100"/>
            <a:t>RIESGO</a:t>
          </a:r>
        </a:p>
      </xdr:txBody>
    </xdr:sp>
    <xdr:clientData/>
  </xdr:twoCellAnchor>
  <xdr:twoCellAnchor>
    <xdr:from>
      <xdr:col>5</xdr:col>
      <xdr:colOff>104775</xdr:colOff>
      <xdr:row>65</xdr:row>
      <xdr:rowOff>38100</xdr:rowOff>
    </xdr:from>
    <xdr:to>
      <xdr:col>5</xdr:col>
      <xdr:colOff>695325</xdr:colOff>
      <xdr:row>65</xdr:row>
      <xdr:rowOff>171450</xdr:rowOff>
    </xdr:to>
    <xdr:sp macro="" textlink="">
      <xdr:nvSpPr>
        <xdr:cNvPr id="64" name="63 Pentágono">
          <a:extLst>
            <a:ext uri="{FF2B5EF4-FFF2-40B4-BE49-F238E27FC236}">
              <a16:creationId xmlns:a16="http://schemas.microsoft.com/office/drawing/2014/main" id="{00000000-0008-0000-0600-000040000000}"/>
            </a:ext>
          </a:extLst>
        </xdr:cNvPr>
        <xdr:cNvSpPr/>
      </xdr:nvSpPr>
      <xdr:spPr>
        <a:xfrm>
          <a:off x="7258050" y="13449300"/>
          <a:ext cx="590550" cy="133350"/>
        </a:xfrm>
        <a:prstGeom prst="homePlate">
          <a:avLst/>
        </a:prstGeom>
      </xdr:spPr>
      <xdr:style>
        <a:lnRef idx="1">
          <a:schemeClr val="dk1"/>
        </a:lnRef>
        <a:fillRef idx="2">
          <a:schemeClr val="dk1"/>
        </a:fillRef>
        <a:effectRef idx="1">
          <a:schemeClr val="dk1"/>
        </a:effectRef>
        <a:fontRef idx="minor">
          <a:schemeClr val="dk1"/>
        </a:fontRef>
      </xdr:style>
      <xdr:txBody>
        <a:bodyPr vertOverflow="clip" horzOverflow="clip" wrap="none" rtlCol="0" anchor="ctr" anchorCtr="1"/>
        <a:lstStyle/>
        <a:p>
          <a:pPr algn="l"/>
          <a:r>
            <a:rPr lang="es-ES" sz="1100"/>
            <a:t>RIESGO</a:t>
          </a:r>
        </a:p>
      </xdr:txBody>
    </xdr:sp>
    <xdr:clientData/>
  </xdr:twoCellAnchor>
  <xdr:twoCellAnchor>
    <xdr:from>
      <xdr:col>5</xdr:col>
      <xdr:colOff>104775</xdr:colOff>
      <xdr:row>70</xdr:row>
      <xdr:rowOff>38100</xdr:rowOff>
    </xdr:from>
    <xdr:to>
      <xdr:col>5</xdr:col>
      <xdr:colOff>695325</xdr:colOff>
      <xdr:row>70</xdr:row>
      <xdr:rowOff>171450</xdr:rowOff>
    </xdr:to>
    <xdr:sp macro="" textlink="">
      <xdr:nvSpPr>
        <xdr:cNvPr id="65" name="64 Pentágono">
          <a:extLst>
            <a:ext uri="{FF2B5EF4-FFF2-40B4-BE49-F238E27FC236}">
              <a16:creationId xmlns:a16="http://schemas.microsoft.com/office/drawing/2014/main" id="{00000000-0008-0000-0600-000041000000}"/>
            </a:ext>
          </a:extLst>
        </xdr:cNvPr>
        <xdr:cNvSpPr/>
      </xdr:nvSpPr>
      <xdr:spPr>
        <a:xfrm>
          <a:off x="7258050" y="13449300"/>
          <a:ext cx="590550" cy="133350"/>
        </a:xfrm>
        <a:prstGeom prst="homePlate">
          <a:avLst/>
        </a:prstGeom>
      </xdr:spPr>
      <xdr:style>
        <a:lnRef idx="1">
          <a:schemeClr val="dk1"/>
        </a:lnRef>
        <a:fillRef idx="2">
          <a:schemeClr val="dk1"/>
        </a:fillRef>
        <a:effectRef idx="1">
          <a:schemeClr val="dk1"/>
        </a:effectRef>
        <a:fontRef idx="minor">
          <a:schemeClr val="dk1"/>
        </a:fontRef>
      </xdr:style>
      <xdr:txBody>
        <a:bodyPr vertOverflow="clip" horzOverflow="clip" wrap="none" rtlCol="0" anchor="ctr" anchorCtr="1"/>
        <a:lstStyle/>
        <a:p>
          <a:pPr algn="l"/>
          <a:r>
            <a:rPr lang="es-ES" sz="1100"/>
            <a:t>RIESGO</a:t>
          </a:r>
        </a:p>
      </xdr:txBody>
    </xdr:sp>
    <xdr:clientData/>
  </xdr:twoCellAnchor>
  <xdr:twoCellAnchor>
    <xdr:from>
      <xdr:col>5</xdr:col>
      <xdr:colOff>104775</xdr:colOff>
      <xdr:row>77</xdr:row>
      <xdr:rowOff>38100</xdr:rowOff>
    </xdr:from>
    <xdr:to>
      <xdr:col>5</xdr:col>
      <xdr:colOff>695325</xdr:colOff>
      <xdr:row>77</xdr:row>
      <xdr:rowOff>171450</xdr:rowOff>
    </xdr:to>
    <xdr:sp macro="" textlink="">
      <xdr:nvSpPr>
        <xdr:cNvPr id="66" name="65 Pentágono">
          <a:extLst>
            <a:ext uri="{FF2B5EF4-FFF2-40B4-BE49-F238E27FC236}">
              <a16:creationId xmlns:a16="http://schemas.microsoft.com/office/drawing/2014/main" id="{00000000-0008-0000-0600-000042000000}"/>
            </a:ext>
          </a:extLst>
        </xdr:cNvPr>
        <xdr:cNvSpPr/>
      </xdr:nvSpPr>
      <xdr:spPr>
        <a:xfrm>
          <a:off x="7258050" y="13449300"/>
          <a:ext cx="590550" cy="133350"/>
        </a:xfrm>
        <a:prstGeom prst="homePlate">
          <a:avLst/>
        </a:prstGeom>
      </xdr:spPr>
      <xdr:style>
        <a:lnRef idx="1">
          <a:schemeClr val="dk1"/>
        </a:lnRef>
        <a:fillRef idx="2">
          <a:schemeClr val="dk1"/>
        </a:fillRef>
        <a:effectRef idx="1">
          <a:schemeClr val="dk1"/>
        </a:effectRef>
        <a:fontRef idx="minor">
          <a:schemeClr val="dk1"/>
        </a:fontRef>
      </xdr:style>
      <xdr:txBody>
        <a:bodyPr vertOverflow="clip" horzOverflow="clip" wrap="none" rtlCol="0" anchor="ctr" anchorCtr="1"/>
        <a:lstStyle/>
        <a:p>
          <a:pPr algn="l"/>
          <a:r>
            <a:rPr lang="es-ES" sz="1100"/>
            <a:t>RIESGO</a:t>
          </a:r>
        </a:p>
      </xdr:txBody>
    </xdr:sp>
    <xdr:clientData/>
  </xdr:twoCellAnchor>
  <xdr:twoCellAnchor>
    <xdr:from>
      <xdr:col>5</xdr:col>
      <xdr:colOff>104775</xdr:colOff>
      <xdr:row>81</xdr:row>
      <xdr:rowOff>38100</xdr:rowOff>
    </xdr:from>
    <xdr:to>
      <xdr:col>5</xdr:col>
      <xdr:colOff>695325</xdr:colOff>
      <xdr:row>81</xdr:row>
      <xdr:rowOff>171450</xdr:rowOff>
    </xdr:to>
    <xdr:sp macro="" textlink="">
      <xdr:nvSpPr>
        <xdr:cNvPr id="67" name="66 Pentágono">
          <a:extLst>
            <a:ext uri="{FF2B5EF4-FFF2-40B4-BE49-F238E27FC236}">
              <a16:creationId xmlns:a16="http://schemas.microsoft.com/office/drawing/2014/main" id="{00000000-0008-0000-0600-000043000000}"/>
            </a:ext>
          </a:extLst>
        </xdr:cNvPr>
        <xdr:cNvSpPr/>
      </xdr:nvSpPr>
      <xdr:spPr>
        <a:xfrm>
          <a:off x="7258050" y="13449300"/>
          <a:ext cx="590550" cy="133350"/>
        </a:xfrm>
        <a:prstGeom prst="homePlate">
          <a:avLst/>
        </a:prstGeom>
      </xdr:spPr>
      <xdr:style>
        <a:lnRef idx="1">
          <a:schemeClr val="dk1"/>
        </a:lnRef>
        <a:fillRef idx="2">
          <a:schemeClr val="dk1"/>
        </a:fillRef>
        <a:effectRef idx="1">
          <a:schemeClr val="dk1"/>
        </a:effectRef>
        <a:fontRef idx="minor">
          <a:schemeClr val="dk1"/>
        </a:fontRef>
      </xdr:style>
      <xdr:txBody>
        <a:bodyPr vertOverflow="clip" horzOverflow="clip" wrap="none" rtlCol="0" anchor="ctr" anchorCtr="1"/>
        <a:lstStyle/>
        <a:p>
          <a:pPr algn="l"/>
          <a:r>
            <a:rPr lang="es-ES" sz="1100"/>
            <a:t>RIESGO</a:t>
          </a:r>
        </a:p>
      </xdr:txBody>
    </xdr:sp>
    <xdr:clientData/>
  </xdr:twoCellAnchor>
  <xdr:twoCellAnchor>
    <xdr:from>
      <xdr:col>5</xdr:col>
      <xdr:colOff>104775</xdr:colOff>
      <xdr:row>85</xdr:row>
      <xdr:rowOff>38100</xdr:rowOff>
    </xdr:from>
    <xdr:to>
      <xdr:col>5</xdr:col>
      <xdr:colOff>695325</xdr:colOff>
      <xdr:row>85</xdr:row>
      <xdr:rowOff>171450</xdr:rowOff>
    </xdr:to>
    <xdr:sp macro="" textlink="">
      <xdr:nvSpPr>
        <xdr:cNvPr id="68" name="67 Pentágono">
          <a:extLst>
            <a:ext uri="{FF2B5EF4-FFF2-40B4-BE49-F238E27FC236}">
              <a16:creationId xmlns:a16="http://schemas.microsoft.com/office/drawing/2014/main" id="{00000000-0008-0000-0600-000044000000}"/>
            </a:ext>
          </a:extLst>
        </xdr:cNvPr>
        <xdr:cNvSpPr/>
      </xdr:nvSpPr>
      <xdr:spPr>
        <a:xfrm>
          <a:off x="7258050" y="13449300"/>
          <a:ext cx="590550" cy="133350"/>
        </a:xfrm>
        <a:prstGeom prst="homePlate">
          <a:avLst/>
        </a:prstGeom>
      </xdr:spPr>
      <xdr:style>
        <a:lnRef idx="1">
          <a:schemeClr val="dk1"/>
        </a:lnRef>
        <a:fillRef idx="2">
          <a:schemeClr val="dk1"/>
        </a:fillRef>
        <a:effectRef idx="1">
          <a:schemeClr val="dk1"/>
        </a:effectRef>
        <a:fontRef idx="minor">
          <a:schemeClr val="dk1"/>
        </a:fontRef>
      </xdr:style>
      <xdr:txBody>
        <a:bodyPr vertOverflow="clip" horzOverflow="clip" wrap="none" rtlCol="0" anchor="ctr" anchorCtr="1"/>
        <a:lstStyle/>
        <a:p>
          <a:pPr algn="l"/>
          <a:r>
            <a:rPr lang="es-ES" sz="1100"/>
            <a:t>RIESGO</a:t>
          </a:r>
        </a:p>
      </xdr:txBody>
    </xdr:sp>
    <xdr:clientData/>
  </xdr:twoCellAnchor>
  <xdr:twoCellAnchor>
    <xdr:from>
      <xdr:col>5</xdr:col>
      <xdr:colOff>104775</xdr:colOff>
      <xdr:row>92</xdr:row>
      <xdr:rowOff>38100</xdr:rowOff>
    </xdr:from>
    <xdr:to>
      <xdr:col>5</xdr:col>
      <xdr:colOff>695325</xdr:colOff>
      <xdr:row>92</xdr:row>
      <xdr:rowOff>171450</xdr:rowOff>
    </xdr:to>
    <xdr:sp macro="" textlink="">
      <xdr:nvSpPr>
        <xdr:cNvPr id="69" name="68 Pentágono">
          <a:extLst>
            <a:ext uri="{FF2B5EF4-FFF2-40B4-BE49-F238E27FC236}">
              <a16:creationId xmlns:a16="http://schemas.microsoft.com/office/drawing/2014/main" id="{00000000-0008-0000-0600-000045000000}"/>
            </a:ext>
          </a:extLst>
        </xdr:cNvPr>
        <xdr:cNvSpPr/>
      </xdr:nvSpPr>
      <xdr:spPr>
        <a:xfrm>
          <a:off x="7258050" y="13449300"/>
          <a:ext cx="590550" cy="133350"/>
        </a:xfrm>
        <a:prstGeom prst="homePlate">
          <a:avLst/>
        </a:prstGeom>
      </xdr:spPr>
      <xdr:style>
        <a:lnRef idx="1">
          <a:schemeClr val="dk1"/>
        </a:lnRef>
        <a:fillRef idx="2">
          <a:schemeClr val="dk1"/>
        </a:fillRef>
        <a:effectRef idx="1">
          <a:schemeClr val="dk1"/>
        </a:effectRef>
        <a:fontRef idx="minor">
          <a:schemeClr val="dk1"/>
        </a:fontRef>
      </xdr:style>
      <xdr:txBody>
        <a:bodyPr vertOverflow="clip" horzOverflow="clip" wrap="none" rtlCol="0" anchor="ctr" anchorCtr="1"/>
        <a:lstStyle/>
        <a:p>
          <a:pPr algn="l"/>
          <a:r>
            <a:rPr lang="es-ES" sz="1100"/>
            <a:t>RIESGO</a:t>
          </a:r>
        </a:p>
      </xdr:txBody>
    </xdr:sp>
    <xdr:clientData/>
  </xdr:twoCellAnchor>
  <xdr:twoCellAnchor>
    <xdr:from>
      <xdr:col>5</xdr:col>
      <xdr:colOff>104775</xdr:colOff>
      <xdr:row>97</xdr:row>
      <xdr:rowOff>38100</xdr:rowOff>
    </xdr:from>
    <xdr:to>
      <xdr:col>5</xdr:col>
      <xdr:colOff>695325</xdr:colOff>
      <xdr:row>97</xdr:row>
      <xdr:rowOff>171450</xdr:rowOff>
    </xdr:to>
    <xdr:sp macro="" textlink="">
      <xdr:nvSpPr>
        <xdr:cNvPr id="71" name="70 Pentágono">
          <a:extLst>
            <a:ext uri="{FF2B5EF4-FFF2-40B4-BE49-F238E27FC236}">
              <a16:creationId xmlns:a16="http://schemas.microsoft.com/office/drawing/2014/main" id="{00000000-0008-0000-0600-000047000000}"/>
            </a:ext>
          </a:extLst>
        </xdr:cNvPr>
        <xdr:cNvSpPr/>
      </xdr:nvSpPr>
      <xdr:spPr>
        <a:xfrm>
          <a:off x="7258050" y="13449300"/>
          <a:ext cx="590550" cy="133350"/>
        </a:xfrm>
        <a:prstGeom prst="homePlate">
          <a:avLst/>
        </a:prstGeom>
      </xdr:spPr>
      <xdr:style>
        <a:lnRef idx="1">
          <a:schemeClr val="dk1"/>
        </a:lnRef>
        <a:fillRef idx="2">
          <a:schemeClr val="dk1"/>
        </a:fillRef>
        <a:effectRef idx="1">
          <a:schemeClr val="dk1"/>
        </a:effectRef>
        <a:fontRef idx="minor">
          <a:schemeClr val="dk1"/>
        </a:fontRef>
      </xdr:style>
      <xdr:txBody>
        <a:bodyPr vertOverflow="clip" horzOverflow="clip" wrap="none" rtlCol="0" anchor="ctr" anchorCtr="1"/>
        <a:lstStyle/>
        <a:p>
          <a:pPr algn="l"/>
          <a:r>
            <a:rPr lang="es-ES" sz="1100"/>
            <a:t>RIESGO</a:t>
          </a:r>
        </a:p>
      </xdr:txBody>
    </xdr:sp>
    <xdr:clientData/>
  </xdr:twoCellAnchor>
  <xdr:twoCellAnchor>
    <xdr:from>
      <xdr:col>5</xdr:col>
      <xdr:colOff>104775</xdr:colOff>
      <xdr:row>101</xdr:row>
      <xdr:rowOff>38100</xdr:rowOff>
    </xdr:from>
    <xdr:to>
      <xdr:col>5</xdr:col>
      <xdr:colOff>695325</xdr:colOff>
      <xdr:row>101</xdr:row>
      <xdr:rowOff>171450</xdr:rowOff>
    </xdr:to>
    <xdr:sp macro="" textlink="">
      <xdr:nvSpPr>
        <xdr:cNvPr id="72" name="71 Pentágono">
          <a:extLst>
            <a:ext uri="{FF2B5EF4-FFF2-40B4-BE49-F238E27FC236}">
              <a16:creationId xmlns:a16="http://schemas.microsoft.com/office/drawing/2014/main" id="{00000000-0008-0000-0600-000048000000}"/>
            </a:ext>
          </a:extLst>
        </xdr:cNvPr>
        <xdr:cNvSpPr/>
      </xdr:nvSpPr>
      <xdr:spPr>
        <a:xfrm>
          <a:off x="7258050" y="13449300"/>
          <a:ext cx="590550" cy="133350"/>
        </a:xfrm>
        <a:prstGeom prst="homePlate">
          <a:avLst/>
        </a:prstGeom>
      </xdr:spPr>
      <xdr:style>
        <a:lnRef idx="1">
          <a:schemeClr val="dk1"/>
        </a:lnRef>
        <a:fillRef idx="2">
          <a:schemeClr val="dk1"/>
        </a:fillRef>
        <a:effectRef idx="1">
          <a:schemeClr val="dk1"/>
        </a:effectRef>
        <a:fontRef idx="minor">
          <a:schemeClr val="dk1"/>
        </a:fontRef>
      </xdr:style>
      <xdr:txBody>
        <a:bodyPr vertOverflow="clip" horzOverflow="clip" wrap="none" rtlCol="0" anchor="ctr" anchorCtr="1"/>
        <a:lstStyle/>
        <a:p>
          <a:pPr algn="l"/>
          <a:r>
            <a:rPr lang="es-ES" sz="1100"/>
            <a:t>RIESGO</a:t>
          </a:r>
        </a:p>
      </xdr:txBody>
    </xdr:sp>
    <xdr:clientData/>
  </xdr:twoCellAnchor>
  <xdr:twoCellAnchor>
    <xdr:from>
      <xdr:col>5</xdr:col>
      <xdr:colOff>104775</xdr:colOff>
      <xdr:row>105</xdr:row>
      <xdr:rowOff>38100</xdr:rowOff>
    </xdr:from>
    <xdr:to>
      <xdr:col>5</xdr:col>
      <xdr:colOff>695325</xdr:colOff>
      <xdr:row>105</xdr:row>
      <xdr:rowOff>171450</xdr:rowOff>
    </xdr:to>
    <xdr:sp macro="" textlink="">
      <xdr:nvSpPr>
        <xdr:cNvPr id="74" name="73 Pentágono">
          <a:extLst>
            <a:ext uri="{FF2B5EF4-FFF2-40B4-BE49-F238E27FC236}">
              <a16:creationId xmlns:a16="http://schemas.microsoft.com/office/drawing/2014/main" id="{00000000-0008-0000-0600-00004A000000}"/>
            </a:ext>
          </a:extLst>
        </xdr:cNvPr>
        <xdr:cNvSpPr/>
      </xdr:nvSpPr>
      <xdr:spPr>
        <a:xfrm>
          <a:off x="7258050" y="13449300"/>
          <a:ext cx="590550" cy="133350"/>
        </a:xfrm>
        <a:prstGeom prst="homePlate">
          <a:avLst/>
        </a:prstGeom>
      </xdr:spPr>
      <xdr:style>
        <a:lnRef idx="1">
          <a:schemeClr val="dk1"/>
        </a:lnRef>
        <a:fillRef idx="2">
          <a:schemeClr val="dk1"/>
        </a:fillRef>
        <a:effectRef idx="1">
          <a:schemeClr val="dk1"/>
        </a:effectRef>
        <a:fontRef idx="minor">
          <a:schemeClr val="dk1"/>
        </a:fontRef>
      </xdr:style>
      <xdr:txBody>
        <a:bodyPr vertOverflow="clip" horzOverflow="clip" wrap="none" rtlCol="0" anchor="ctr" anchorCtr="1"/>
        <a:lstStyle/>
        <a:p>
          <a:pPr algn="l"/>
          <a:r>
            <a:rPr lang="es-ES" sz="1100"/>
            <a:t>RIESGO</a:t>
          </a:r>
        </a:p>
      </xdr:txBody>
    </xdr:sp>
    <xdr:clientData/>
  </xdr:twoCellAnchor>
  <xdr:twoCellAnchor>
    <xdr:from>
      <xdr:col>5</xdr:col>
      <xdr:colOff>104775</xdr:colOff>
      <xdr:row>109</xdr:row>
      <xdr:rowOff>38100</xdr:rowOff>
    </xdr:from>
    <xdr:to>
      <xdr:col>5</xdr:col>
      <xdr:colOff>695325</xdr:colOff>
      <xdr:row>109</xdr:row>
      <xdr:rowOff>171450</xdr:rowOff>
    </xdr:to>
    <xdr:sp macro="" textlink="">
      <xdr:nvSpPr>
        <xdr:cNvPr id="75" name="74 Pentágono">
          <a:extLst>
            <a:ext uri="{FF2B5EF4-FFF2-40B4-BE49-F238E27FC236}">
              <a16:creationId xmlns:a16="http://schemas.microsoft.com/office/drawing/2014/main" id="{00000000-0008-0000-0600-00004B000000}"/>
            </a:ext>
          </a:extLst>
        </xdr:cNvPr>
        <xdr:cNvSpPr/>
      </xdr:nvSpPr>
      <xdr:spPr>
        <a:xfrm>
          <a:off x="7258050" y="13449300"/>
          <a:ext cx="590550" cy="133350"/>
        </a:xfrm>
        <a:prstGeom prst="homePlate">
          <a:avLst/>
        </a:prstGeom>
      </xdr:spPr>
      <xdr:style>
        <a:lnRef idx="1">
          <a:schemeClr val="dk1"/>
        </a:lnRef>
        <a:fillRef idx="2">
          <a:schemeClr val="dk1"/>
        </a:fillRef>
        <a:effectRef idx="1">
          <a:schemeClr val="dk1"/>
        </a:effectRef>
        <a:fontRef idx="minor">
          <a:schemeClr val="dk1"/>
        </a:fontRef>
      </xdr:style>
      <xdr:txBody>
        <a:bodyPr vertOverflow="clip" horzOverflow="clip" wrap="none" rtlCol="0" anchor="ctr" anchorCtr="1"/>
        <a:lstStyle/>
        <a:p>
          <a:pPr algn="l"/>
          <a:r>
            <a:rPr lang="es-ES" sz="1100"/>
            <a:t>RIESGO</a:t>
          </a:r>
        </a:p>
      </xdr:txBody>
    </xdr:sp>
    <xdr:clientData/>
  </xdr:twoCellAnchor>
  <xdr:twoCellAnchor>
    <xdr:from>
      <xdr:col>5</xdr:col>
      <xdr:colOff>104775</xdr:colOff>
      <xdr:row>116</xdr:row>
      <xdr:rowOff>38100</xdr:rowOff>
    </xdr:from>
    <xdr:to>
      <xdr:col>5</xdr:col>
      <xdr:colOff>695325</xdr:colOff>
      <xdr:row>116</xdr:row>
      <xdr:rowOff>171450</xdr:rowOff>
    </xdr:to>
    <xdr:sp macro="" textlink="">
      <xdr:nvSpPr>
        <xdr:cNvPr id="76" name="75 Pentágono">
          <a:extLst>
            <a:ext uri="{FF2B5EF4-FFF2-40B4-BE49-F238E27FC236}">
              <a16:creationId xmlns:a16="http://schemas.microsoft.com/office/drawing/2014/main" id="{00000000-0008-0000-0600-00004C000000}"/>
            </a:ext>
          </a:extLst>
        </xdr:cNvPr>
        <xdr:cNvSpPr/>
      </xdr:nvSpPr>
      <xdr:spPr>
        <a:xfrm>
          <a:off x="7258050" y="13449300"/>
          <a:ext cx="590550" cy="133350"/>
        </a:xfrm>
        <a:prstGeom prst="homePlate">
          <a:avLst/>
        </a:prstGeom>
      </xdr:spPr>
      <xdr:style>
        <a:lnRef idx="1">
          <a:schemeClr val="dk1"/>
        </a:lnRef>
        <a:fillRef idx="2">
          <a:schemeClr val="dk1"/>
        </a:fillRef>
        <a:effectRef idx="1">
          <a:schemeClr val="dk1"/>
        </a:effectRef>
        <a:fontRef idx="minor">
          <a:schemeClr val="dk1"/>
        </a:fontRef>
      </xdr:style>
      <xdr:txBody>
        <a:bodyPr vertOverflow="clip" horzOverflow="clip" wrap="none" rtlCol="0" anchor="ctr" anchorCtr="1"/>
        <a:lstStyle/>
        <a:p>
          <a:pPr algn="l"/>
          <a:r>
            <a:rPr lang="es-ES" sz="1100"/>
            <a:t>RIESGO</a:t>
          </a:r>
        </a:p>
      </xdr:txBody>
    </xdr:sp>
    <xdr:clientData/>
  </xdr:twoCellAnchor>
  <xdr:twoCellAnchor>
    <xdr:from>
      <xdr:col>5</xdr:col>
      <xdr:colOff>104775</xdr:colOff>
      <xdr:row>120</xdr:row>
      <xdr:rowOff>38100</xdr:rowOff>
    </xdr:from>
    <xdr:to>
      <xdr:col>5</xdr:col>
      <xdr:colOff>695325</xdr:colOff>
      <xdr:row>120</xdr:row>
      <xdr:rowOff>171450</xdr:rowOff>
    </xdr:to>
    <xdr:sp macro="" textlink="">
      <xdr:nvSpPr>
        <xdr:cNvPr id="77" name="76 Pentágono">
          <a:extLst>
            <a:ext uri="{FF2B5EF4-FFF2-40B4-BE49-F238E27FC236}">
              <a16:creationId xmlns:a16="http://schemas.microsoft.com/office/drawing/2014/main" id="{00000000-0008-0000-0600-00004D000000}"/>
            </a:ext>
          </a:extLst>
        </xdr:cNvPr>
        <xdr:cNvSpPr/>
      </xdr:nvSpPr>
      <xdr:spPr>
        <a:xfrm>
          <a:off x="7258050" y="13449300"/>
          <a:ext cx="590550" cy="133350"/>
        </a:xfrm>
        <a:prstGeom prst="homePlate">
          <a:avLst/>
        </a:prstGeom>
      </xdr:spPr>
      <xdr:style>
        <a:lnRef idx="1">
          <a:schemeClr val="dk1"/>
        </a:lnRef>
        <a:fillRef idx="2">
          <a:schemeClr val="dk1"/>
        </a:fillRef>
        <a:effectRef idx="1">
          <a:schemeClr val="dk1"/>
        </a:effectRef>
        <a:fontRef idx="minor">
          <a:schemeClr val="dk1"/>
        </a:fontRef>
      </xdr:style>
      <xdr:txBody>
        <a:bodyPr vertOverflow="clip" horzOverflow="clip" wrap="none" rtlCol="0" anchor="ctr" anchorCtr="1"/>
        <a:lstStyle/>
        <a:p>
          <a:pPr algn="l"/>
          <a:r>
            <a:rPr lang="es-ES" sz="1100"/>
            <a:t>RIESGO</a:t>
          </a:r>
        </a:p>
      </xdr:txBody>
    </xdr:sp>
    <xdr:clientData/>
  </xdr:twoCellAnchor>
  <xdr:twoCellAnchor>
    <xdr:from>
      <xdr:col>5</xdr:col>
      <xdr:colOff>104775</xdr:colOff>
      <xdr:row>127</xdr:row>
      <xdr:rowOff>38100</xdr:rowOff>
    </xdr:from>
    <xdr:to>
      <xdr:col>5</xdr:col>
      <xdr:colOff>695325</xdr:colOff>
      <xdr:row>127</xdr:row>
      <xdr:rowOff>171450</xdr:rowOff>
    </xdr:to>
    <xdr:sp macro="" textlink="">
      <xdr:nvSpPr>
        <xdr:cNvPr id="79" name="78 Pentágono">
          <a:extLst>
            <a:ext uri="{FF2B5EF4-FFF2-40B4-BE49-F238E27FC236}">
              <a16:creationId xmlns:a16="http://schemas.microsoft.com/office/drawing/2014/main" id="{00000000-0008-0000-0600-00004F000000}"/>
            </a:ext>
          </a:extLst>
        </xdr:cNvPr>
        <xdr:cNvSpPr/>
      </xdr:nvSpPr>
      <xdr:spPr>
        <a:xfrm>
          <a:off x="7258050" y="13449300"/>
          <a:ext cx="590550" cy="133350"/>
        </a:xfrm>
        <a:prstGeom prst="homePlate">
          <a:avLst/>
        </a:prstGeom>
      </xdr:spPr>
      <xdr:style>
        <a:lnRef idx="1">
          <a:schemeClr val="dk1"/>
        </a:lnRef>
        <a:fillRef idx="2">
          <a:schemeClr val="dk1"/>
        </a:fillRef>
        <a:effectRef idx="1">
          <a:schemeClr val="dk1"/>
        </a:effectRef>
        <a:fontRef idx="minor">
          <a:schemeClr val="dk1"/>
        </a:fontRef>
      </xdr:style>
      <xdr:txBody>
        <a:bodyPr vertOverflow="clip" horzOverflow="clip" wrap="none" rtlCol="0" anchor="ctr" anchorCtr="1"/>
        <a:lstStyle/>
        <a:p>
          <a:pPr algn="l"/>
          <a:r>
            <a:rPr lang="es-ES" sz="1100"/>
            <a:t>RIESGO</a:t>
          </a:r>
        </a:p>
      </xdr:txBody>
    </xdr:sp>
    <xdr:clientData/>
  </xdr:twoCellAnchor>
  <xdr:twoCellAnchor>
    <xdr:from>
      <xdr:col>5</xdr:col>
      <xdr:colOff>104775</xdr:colOff>
      <xdr:row>131</xdr:row>
      <xdr:rowOff>38100</xdr:rowOff>
    </xdr:from>
    <xdr:to>
      <xdr:col>5</xdr:col>
      <xdr:colOff>695325</xdr:colOff>
      <xdr:row>131</xdr:row>
      <xdr:rowOff>171450</xdr:rowOff>
    </xdr:to>
    <xdr:sp macro="" textlink="">
      <xdr:nvSpPr>
        <xdr:cNvPr id="80" name="79 Pentágono">
          <a:extLst>
            <a:ext uri="{FF2B5EF4-FFF2-40B4-BE49-F238E27FC236}">
              <a16:creationId xmlns:a16="http://schemas.microsoft.com/office/drawing/2014/main" id="{00000000-0008-0000-0600-000050000000}"/>
            </a:ext>
          </a:extLst>
        </xdr:cNvPr>
        <xdr:cNvSpPr/>
      </xdr:nvSpPr>
      <xdr:spPr>
        <a:xfrm>
          <a:off x="7258050" y="13449300"/>
          <a:ext cx="590550" cy="133350"/>
        </a:xfrm>
        <a:prstGeom prst="homePlate">
          <a:avLst/>
        </a:prstGeom>
      </xdr:spPr>
      <xdr:style>
        <a:lnRef idx="1">
          <a:schemeClr val="dk1"/>
        </a:lnRef>
        <a:fillRef idx="2">
          <a:schemeClr val="dk1"/>
        </a:fillRef>
        <a:effectRef idx="1">
          <a:schemeClr val="dk1"/>
        </a:effectRef>
        <a:fontRef idx="minor">
          <a:schemeClr val="dk1"/>
        </a:fontRef>
      </xdr:style>
      <xdr:txBody>
        <a:bodyPr vertOverflow="clip" horzOverflow="clip" wrap="none" rtlCol="0" anchor="ctr" anchorCtr="1"/>
        <a:lstStyle/>
        <a:p>
          <a:pPr algn="l"/>
          <a:r>
            <a:rPr lang="es-ES" sz="1100"/>
            <a:t>RIESGO</a:t>
          </a:r>
        </a:p>
      </xdr:txBody>
    </xdr:sp>
    <xdr:clientData/>
  </xdr:twoCellAnchor>
  <mc:AlternateContent xmlns:mc="http://schemas.openxmlformats.org/markup-compatibility/2006">
    <mc:Choice xmlns:a14="http://schemas.microsoft.com/office/drawing/2010/main" Requires="a14">
      <xdr:twoCellAnchor editAs="oneCell">
        <xdr:from>
          <xdr:col>3</xdr:col>
          <xdr:colOff>1379220</xdr:colOff>
          <xdr:row>21</xdr:row>
          <xdr:rowOff>7620</xdr:rowOff>
        </xdr:from>
        <xdr:to>
          <xdr:col>5</xdr:col>
          <xdr:colOff>99060</xdr:colOff>
          <xdr:row>21</xdr:row>
          <xdr:rowOff>190500</xdr:rowOff>
        </xdr:to>
        <xdr:sp macro="" textlink="">
          <xdr:nvSpPr>
            <xdr:cNvPr id="1173" name="CheckBox1" hidden="1">
              <a:extLst>
                <a:ext uri="{63B3BB69-23CF-44E3-9099-C40C66FF867C}">
                  <a14:compatExt spid="_x0000_s1173"/>
                </a:ext>
                <a:ext uri="{FF2B5EF4-FFF2-40B4-BE49-F238E27FC236}">
                  <a16:creationId xmlns:a16="http://schemas.microsoft.com/office/drawing/2014/main" id="{00000000-0008-0000-06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_AUDITORIAS/1_CONTROL/MODELOS%202010/PC-AUD010_GMT_Ficheros/Aud10_EMPRESA%20MODELO_V2.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G.15.1.3"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G.15.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AG.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A13_SUM"/>
      <sheetName val="MENU"/>
      <sheetName val="DATOS"/>
      <sheetName val="balance"/>
      <sheetName val="PYG"/>
      <sheetName val="ANALITICA"/>
      <sheetName val="UR"/>
      <sheetName val="ANALISIS UR"/>
      <sheetName val="ratio"/>
      <sheetName val="GRAFICOS"/>
      <sheetName val="FONDO MANIOBRA"/>
      <sheetName val="CTAS ABREV"/>
      <sheetName val="CTAS NORMALES"/>
      <sheetName val="cuentas"/>
      <sheetName val="balance oficial"/>
      <sheetName val="PROGRAMAS TRABAJO"/>
      <sheetName val="pygoficial"/>
      <sheetName val="BALANCE Informe"/>
      <sheetName val="PYG Informe"/>
      <sheetName val="EIGR Informe"/>
      <sheetName val="ETCPN Informe"/>
      <sheetName val="BALANCE ABREV Informe"/>
      <sheetName val="PYG ABREV Informe"/>
      <sheetName val="EIGR ABREV Informe"/>
      <sheetName val="ETCPN ABREV Informe "/>
      <sheetName val="AG15.1 new"/>
      <sheetName val="AG15.2 new"/>
      <sheetName val="AG15.3 new"/>
      <sheetName val="MEMORIA"/>
      <sheetName val="datos ajustes 3"/>
      <sheetName val="datos ajustes 2"/>
      <sheetName val="datos ajustes"/>
      <sheetName val="n et"/>
      <sheetName val="n planif"/>
      <sheetName val="n-1"/>
      <sheetName val="n-2"/>
      <sheetName val="AJUSTES"/>
      <sheetName val="AG.15.1"/>
      <sheetName val="AG.15.1.1"/>
      <sheetName val="AG.15.1.2"/>
      <sheetName val="AG.15.1.3"/>
      <sheetName val="AG.15.2"/>
      <sheetName val="AG.15.2.1"/>
      <sheetName val="AG.15.2.2"/>
      <sheetName val="AG.15.2.3"/>
      <sheetName val="EIGR"/>
      <sheetName val="AG.15.3"/>
      <sheetName val="AG.15.3.1"/>
      <sheetName val="AG.15.3.2"/>
      <sheetName val="AG.15.3.3"/>
      <sheetName val="IR1"/>
      <sheetName val="IR2"/>
      <sheetName val="RIESGO"/>
      <sheetName val="IR3"/>
      <sheetName val="IR4"/>
      <sheetName val="A.1"/>
      <sheetName val="MUM"/>
      <sheetName val="CFE"/>
      <sheetName val="CFE1"/>
      <sheetName val="CFE2"/>
      <sheetName val="balance desg."/>
      <sheetName val="cuadro de tesoreria"/>
      <sheetName val="AA3"/>
      <sheetName val="AA1"/>
      <sheetName val="AA2"/>
      <sheetName val="AA4"/>
      <sheetName val="PA3"/>
      <sheetName val="AB4"/>
      <sheetName val="AB2"/>
      <sheetName val="PA1"/>
      <sheetName val="Sumaria modelo"/>
      <sheetName val="AA1_SUM"/>
      <sheetName val="AA2_SUM"/>
      <sheetName val="AA3_SUM"/>
      <sheetName val="AA4_SUM"/>
      <sheetName val="AA5_SUM"/>
      <sheetName val="AA6_SUM"/>
      <sheetName val="AB1_SUM"/>
      <sheetName val="AB2_SUM"/>
      <sheetName val="AB3_SUM"/>
      <sheetName val="AB4_SUM"/>
      <sheetName val="AB5_SUM"/>
      <sheetName val="AB6_SUM"/>
      <sheetName val="AB7_SUM"/>
      <sheetName val="PA1_SUM"/>
      <sheetName val="PA2_SUM"/>
      <sheetName val="PA3_SUM"/>
      <sheetName val="PB1_SUM"/>
      <sheetName val="PB2_SUM"/>
      <sheetName val="PB3_SUM"/>
      <sheetName val="PB4_SUM"/>
      <sheetName val="PB5_SUM"/>
      <sheetName val="PC1_SUM"/>
      <sheetName val="PC2_SUM"/>
      <sheetName val="PC3_SUM"/>
      <sheetName val="PC4_SUM"/>
      <sheetName val="PC5_SUM"/>
      <sheetName val="PC6_SUM"/>
      <sheetName val="IA1_SUM"/>
      <sheetName val="IA2_SUM"/>
      <sheetName val="IA3_SUM"/>
      <sheetName val="IA5_SUM"/>
      <sheetName val="IA9_SUM"/>
      <sheetName val="IA10_SUM"/>
      <sheetName val="IA14_SUM"/>
      <sheetName val="GA4_SUM"/>
      <sheetName val="GA6_SUM"/>
      <sheetName val="GA7_SUM"/>
      <sheetName val="GA8_SUM"/>
      <sheetName val="GA11_SUM"/>
      <sheetName val="GA15_SUM"/>
      <sheetName val="GA16_SUM"/>
      <sheetName val="GA17_SUM"/>
      <sheetName val="AA5"/>
      <sheetName val="AA6"/>
      <sheetName val="AB1"/>
      <sheetName val="AB7"/>
      <sheetName val="AB3"/>
      <sheetName val="AB5"/>
      <sheetName val="AB6"/>
      <sheetName val="PA2"/>
      <sheetName val="PB1"/>
      <sheetName val="PB2"/>
      <sheetName val="PB3"/>
      <sheetName val="PB4"/>
      <sheetName val="PB5"/>
      <sheetName val="PC1"/>
      <sheetName val="PC2"/>
      <sheetName val="PC3"/>
      <sheetName val="PC4"/>
      <sheetName val="PC5"/>
      <sheetName val="PC6"/>
      <sheetName val="IA1"/>
      <sheetName val="IA2"/>
      <sheetName val="IA3"/>
      <sheetName val="IA5"/>
      <sheetName val="IA9"/>
      <sheetName val="IA10"/>
      <sheetName val="IA14"/>
      <sheetName val="GA4"/>
      <sheetName val="GA6"/>
      <sheetName val="GA7"/>
      <sheetName val="GA8"/>
      <sheetName val="GA11"/>
      <sheetName val="GA15"/>
      <sheetName val="GA16"/>
      <sheetName val="GA17"/>
      <sheetName val="H_POST"/>
      <sheetName val="EFE 1"/>
      <sheetName val="AJUSTES EFE"/>
      <sheetName val="EFE 2"/>
      <sheetName val="EFE_INF"/>
      <sheetName val="AA7"/>
      <sheetName val="AA7_SUM"/>
      <sheetName val="PB6"/>
      <sheetName val="PB6_SUM"/>
      <sheetName val="IA13"/>
      <sheetName val="IA13._SUM"/>
      <sheetName val="PC7"/>
      <sheetName val="PC7_SUM"/>
      <sheetName val="PB7"/>
      <sheetName val="PB7_SUM"/>
      <sheetName val="IA12"/>
      <sheetName val="IA12_SUM"/>
      <sheetName val="Aud10_EMPRESA MODELO_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15.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15"/>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15"/>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541"/>
  <sheetViews>
    <sheetView workbookViewId="0">
      <selection activeCell="B370" sqref="B370"/>
    </sheetView>
  </sheetViews>
  <sheetFormatPr baseColWidth="10" defaultRowHeight="14.4"/>
  <cols>
    <col min="1" max="1" width="11.88671875" bestFit="1" customWidth="1"/>
  </cols>
  <sheetData>
    <row r="1" spans="1:9">
      <c r="A1" s="401" t="s">
        <v>1044</v>
      </c>
      <c r="B1" s="401" t="s">
        <v>1351</v>
      </c>
      <c r="C1" s="401"/>
      <c r="D1" s="401" t="s">
        <v>1045</v>
      </c>
      <c r="E1" s="144"/>
      <c r="F1" s="144"/>
      <c r="G1" s="144"/>
      <c r="H1" s="144"/>
    </row>
    <row r="2" spans="1:9">
      <c r="A2" s="401" t="s">
        <v>1046</v>
      </c>
      <c r="B2" s="402" t="s">
        <v>1352</v>
      </c>
      <c r="C2" s="401"/>
      <c r="D2" s="401" t="s">
        <v>1047</v>
      </c>
      <c r="E2" s="144"/>
      <c r="F2" s="144"/>
      <c r="G2" s="144"/>
      <c r="H2" s="144"/>
    </row>
    <row r="3" spans="1:9" ht="28.8">
      <c r="A3" s="401" t="s">
        <v>1151</v>
      </c>
      <c r="B3" s="429" t="s">
        <v>1353</v>
      </c>
      <c r="C3" s="401"/>
      <c r="D3" s="401" t="s">
        <v>1152</v>
      </c>
      <c r="E3" s="144"/>
      <c r="F3" s="144"/>
      <c r="G3" s="144"/>
      <c r="H3" s="144"/>
    </row>
    <row r="4" spans="1:9">
      <c r="A4" s="401" t="s">
        <v>1048</v>
      </c>
      <c r="B4" s="401" t="s">
        <v>1354</v>
      </c>
      <c r="C4" s="401"/>
      <c r="D4" s="401" t="s">
        <v>1049</v>
      </c>
      <c r="E4" s="144"/>
      <c r="F4" s="144"/>
      <c r="G4" s="144"/>
      <c r="H4" s="144"/>
    </row>
    <row r="5" spans="1:9">
      <c r="A5" s="401" t="s">
        <v>1050</v>
      </c>
      <c r="B5" s="401" t="s">
        <v>1355</v>
      </c>
      <c r="C5" s="401"/>
      <c r="D5" s="401" t="s">
        <v>1051</v>
      </c>
    </row>
    <row r="6" spans="1:9">
      <c r="A6" s="408" t="s">
        <v>1226</v>
      </c>
      <c r="B6" s="409">
        <v>242118.97</v>
      </c>
      <c r="C6" s="408"/>
      <c r="D6" s="408" t="s">
        <v>1224</v>
      </c>
      <c r="E6" s="408"/>
      <c r="F6" s="408"/>
      <c r="G6" s="408"/>
      <c r="H6" s="408"/>
    </row>
    <row r="7" spans="1:9">
      <c r="A7" t="s">
        <v>1149</v>
      </c>
      <c r="B7" t="s">
        <v>1356</v>
      </c>
      <c r="D7" t="s">
        <v>1150</v>
      </c>
    </row>
    <row r="8" spans="1:9" s="403" customFormat="1">
      <c r="A8" s="410" t="s">
        <v>1227</v>
      </c>
      <c r="B8" s="411">
        <v>0.66</v>
      </c>
      <c r="C8" s="410"/>
      <c r="D8" s="410" t="s">
        <v>1225</v>
      </c>
      <c r="E8" s="410"/>
      <c r="F8" s="410"/>
      <c r="G8" s="410"/>
      <c r="H8" s="410"/>
    </row>
    <row r="9" spans="1:9" s="403" customFormat="1">
      <c r="A9" s="403" t="s">
        <v>1161</v>
      </c>
      <c r="B9" s="403">
        <v>70</v>
      </c>
      <c r="D9" s="403" t="s">
        <v>1162</v>
      </c>
    </row>
    <row r="10" spans="1:9" s="403" customFormat="1">
      <c r="A10" s="403" t="s">
        <v>1163</v>
      </c>
      <c r="B10" s="403">
        <v>68</v>
      </c>
      <c r="D10" s="403" t="s">
        <v>1164</v>
      </c>
    </row>
    <row r="11" spans="1:9" s="403" customFormat="1">
      <c r="A11" s="403" t="s">
        <v>1165</v>
      </c>
      <c r="B11" s="403">
        <v>69</v>
      </c>
      <c r="D11" s="403" t="s">
        <v>1166</v>
      </c>
      <c r="I11" s="403">
        <f>+INT((B2-B12)/30)</f>
        <v>2</v>
      </c>
    </row>
    <row r="12" spans="1:9" s="403" customFormat="1">
      <c r="A12" s="403" t="s">
        <v>1167</v>
      </c>
      <c r="B12" s="402" t="s">
        <v>1357</v>
      </c>
      <c r="D12" s="403" t="s">
        <v>1168</v>
      </c>
      <c r="I12" s="403">
        <f>12-I11</f>
        <v>10</v>
      </c>
    </row>
    <row r="13" spans="1:9">
      <c r="A13" s="139" t="s">
        <v>471</v>
      </c>
      <c r="B13" s="139"/>
      <c r="C13" s="139"/>
      <c r="D13" s="139" t="s">
        <v>329</v>
      </c>
    </row>
    <row r="14" spans="1:9">
      <c r="A14" s="139" t="s">
        <v>472</v>
      </c>
      <c r="B14" s="139"/>
      <c r="C14" s="139"/>
      <c r="D14" s="139" t="s">
        <v>330</v>
      </c>
    </row>
    <row r="15" spans="1:9">
      <c r="A15" s="139" t="s">
        <v>473</v>
      </c>
      <c r="B15" s="139"/>
      <c r="C15" s="139"/>
      <c r="D15" s="139" t="s">
        <v>331</v>
      </c>
    </row>
    <row r="16" spans="1:9">
      <c r="A16" s="139" t="s">
        <v>474</v>
      </c>
      <c r="B16" s="139"/>
      <c r="C16" s="139"/>
      <c r="D16" s="139" t="s">
        <v>332</v>
      </c>
    </row>
    <row r="17" spans="1:9">
      <c r="A17" s="139" t="s">
        <v>475</v>
      </c>
      <c r="B17" s="139">
        <v>2461.9499999999998</v>
      </c>
      <c r="C17" s="139"/>
      <c r="D17" s="139" t="s">
        <v>333</v>
      </c>
    </row>
    <row r="18" spans="1:9">
      <c r="A18" s="139" t="s">
        <v>476</v>
      </c>
      <c r="B18" s="139"/>
      <c r="C18" s="139"/>
      <c r="D18" s="139" t="s">
        <v>334</v>
      </c>
    </row>
    <row r="19" spans="1:9">
      <c r="A19" s="139" t="s">
        <v>477</v>
      </c>
      <c r="B19" s="139"/>
      <c r="C19" s="139"/>
      <c r="D19" s="139" t="s">
        <v>335</v>
      </c>
    </row>
    <row r="20" spans="1:9" s="410" customFormat="1">
      <c r="A20" s="414" t="s">
        <v>1282</v>
      </c>
      <c r="B20" s="139"/>
      <c r="C20" s="415"/>
      <c r="D20" s="415" t="s">
        <v>1280</v>
      </c>
      <c r="E20" s="412"/>
      <c r="F20" s="412"/>
      <c r="G20" s="412"/>
      <c r="H20" s="412"/>
      <c r="I20" s="412"/>
    </row>
    <row r="21" spans="1:9" s="410" customFormat="1">
      <c r="A21" s="414" t="s">
        <v>1283</v>
      </c>
      <c r="B21" s="139"/>
      <c r="C21" s="415"/>
      <c r="D21" s="415" t="s">
        <v>1281</v>
      </c>
      <c r="E21" s="412"/>
      <c r="F21" s="412"/>
      <c r="G21" s="412"/>
      <c r="H21" s="412"/>
      <c r="I21" s="412"/>
    </row>
    <row r="22" spans="1:9">
      <c r="A22" s="139" t="s">
        <v>478</v>
      </c>
      <c r="B22" s="139">
        <v>4409600.99</v>
      </c>
      <c r="C22" s="139"/>
      <c r="D22" s="139" t="s">
        <v>336</v>
      </c>
    </row>
    <row r="23" spans="1:9">
      <c r="A23" s="139" t="s">
        <v>479</v>
      </c>
      <c r="B23" s="139">
        <v>2516519.2799999998</v>
      </c>
      <c r="C23" s="139"/>
      <c r="D23" s="139" t="s">
        <v>337</v>
      </c>
    </row>
    <row r="24" spans="1:9">
      <c r="A24" s="139" t="s">
        <v>480</v>
      </c>
      <c r="B24" s="139">
        <v>50000</v>
      </c>
      <c r="C24" s="139"/>
      <c r="D24" s="139" t="s">
        <v>338</v>
      </c>
    </row>
    <row r="25" spans="1:9">
      <c r="A25" s="139" t="s">
        <v>481</v>
      </c>
      <c r="B25" s="139"/>
      <c r="C25" s="139"/>
      <c r="D25" s="139" t="s">
        <v>339</v>
      </c>
    </row>
    <row r="26" spans="1:9">
      <c r="A26" s="139" t="s">
        <v>482</v>
      </c>
      <c r="B26" s="139"/>
      <c r="C26" s="139"/>
      <c r="D26" s="139" t="s">
        <v>340</v>
      </c>
    </row>
    <row r="27" spans="1:9">
      <c r="A27" s="139" t="s">
        <v>483</v>
      </c>
      <c r="B27" s="139">
        <v>45000</v>
      </c>
      <c r="C27" s="139"/>
      <c r="D27" s="139" t="s">
        <v>341</v>
      </c>
    </row>
    <row r="28" spans="1:9">
      <c r="A28" s="139" t="s">
        <v>484</v>
      </c>
      <c r="B28" s="139"/>
      <c r="C28" s="139"/>
      <c r="D28" s="139" t="s">
        <v>342</v>
      </c>
    </row>
    <row r="29" spans="1:9">
      <c r="A29" s="139" t="s">
        <v>485</v>
      </c>
      <c r="B29" s="139"/>
      <c r="C29" s="139"/>
      <c r="D29" s="139" t="s">
        <v>343</v>
      </c>
    </row>
    <row r="30" spans="1:9">
      <c r="A30" s="139" t="s">
        <v>486</v>
      </c>
      <c r="B30" s="139"/>
      <c r="C30" s="139"/>
      <c r="D30" s="139" t="s">
        <v>344</v>
      </c>
    </row>
    <row r="31" spans="1:9">
      <c r="A31" s="139" t="s">
        <v>487</v>
      </c>
      <c r="B31" s="139"/>
      <c r="C31" s="139"/>
      <c r="D31" s="139" t="s">
        <v>345</v>
      </c>
    </row>
    <row r="32" spans="1:9">
      <c r="A32" s="139" t="s">
        <v>488</v>
      </c>
      <c r="B32" s="139"/>
      <c r="C32" s="139"/>
      <c r="D32" s="139" t="s">
        <v>346</v>
      </c>
    </row>
    <row r="33" spans="1:4">
      <c r="A33" s="139" t="s">
        <v>489</v>
      </c>
      <c r="B33" s="139"/>
      <c r="C33" s="139"/>
      <c r="D33" s="139" t="s">
        <v>347</v>
      </c>
    </row>
    <row r="34" spans="1:4">
      <c r="A34" s="139" t="s">
        <v>490</v>
      </c>
      <c r="B34" s="139">
        <v>7657.14</v>
      </c>
      <c r="C34" s="139"/>
      <c r="D34" s="139" t="s">
        <v>348</v>
      </c>
    </row>
    <row r="35" spans="1:4">
      <c r="A35" s="139" t="s">
        <v>491</v>
      </c>
      <c r="B35" s="139"/>
      <c r="C35" s="139"/>
      <c r="D35" s="139" t="s">
        <v>349</v>
      </c>
    </row>
    <row r="36" spans="1:4">
      <c r="A36" s="139" t="s">
        <v>492</v>
      </c>
      <c r="B36" s="139"/>
      <c r="C36" s="139"/>
      <c r="D36" s="139" t="s">
        <v>350</v>
      </c>
    </row>
    <row r="37" spans="1:4">
      <c r="A37" s="139" t="s">
        <v>493</v>
      </c>
      <c r="B37" s="139">
        <v>480.79</v>
      </c>
      <c r="C37" s="139"/>
      <c r="D37" s="139" t="s">
        <v>351</v>
      </c>
    </row>
    <row r="38" spans="1:4">
      <c r="A38" s="139" t="s">
        <v>494</v>
      </c>
      <c r="B38" s="139"/>
      <c r="C38" s="139"/>
      <c r="D38" s="139" t="s">
        <v>352</v>
      </c>
    </row>
    <row r="39" spans="1:4">
      <c r="A39" s="139" t="s">
        <v>495</v>
      </c>
      <c r="B39" s="139">
        <v>176951.27</v>
      </c>
      <c r="C39" s="139"/>
      <c r="D39" s="139" t="s">
        <v>353</v>
      </c>
    </row>
    <row r="40" spans="1:4">
      <c r="A40" s="139" t="s">
        <v>496</v>
      </c>
      <c r="B40" s="139"/>
      <c r="C40" s="139"/>
      <c r="D40" s="139" t="s">
        <v>354</v>
      </c>
    </row>
    <row r="41" spans="1:4">
      <c r="A41" s="139" t="s">
        <v>497</v>
      </c>
      <c r="B41" s="139"/>
      <c r="C41" s="139"/>
      <c r="D41" s="139" t="s">
        <v>355</v>
      </c>
    </row>
    <row r="42" spans="1:4">
      <c r="A42" s="139" t="s">
        <v>498</v>
      </c>
      <c r="B42" s="139">
        <v>934133.34</v>
      </c>
      <c r="C42" s="139"/>
      <c r="D42" s="139" t="s">
        <v>356</v>
      </c>
    </row>
    <row r="43" spans="1:4">
      <c r="A43" s="139" t="s">
        <v>499</v>
      </c>
      <c r="B43" s="139">
        <v>740699.5</v>
      </c>
      <c r="C43" s="139"/>
      <c r="D43" s="139" t="s">
        <v>357</v>
      </c>
    </row>
    <row r="44" spans="1:4">
      <c r="A44" s="139" t="s">
        <v>500</v>
      </c>
      <c r="B44" s="139">
        <v>46653.99</v>
      </c>
      <c r="C44" s="139"/>
      <c r="D44" s="139" t="s">
        <v>358</v>
      </c>
    </row>
    <row r="45" spans="1:4">
      <c r="A45" s="139" t="s">
        <v>501</v>
      </c>
      <c r="B45" s="139">
        <v>1873081.46</v>
      </c>
      <c r="C45" s="139"/>
      <c r="D45" s="139" t="s">
        <v>359</v>
      </c>
    </row>
    <row r="46" spans="1:4">
      <c r="A46" s="139" t="s">
        <v>502</v>
      </c>
      <c r="B46" s="139"/>
      <c r="C46" s="139"/>
      <c r="D46" s="139" t="s">
        <v>360</v>
      </c>
    </row>
    <row r="47" spans="1:4">
      <c r="A47" s="139" t="s">
        <v>503</v>
      </c>
      <c r="B47" s="139"/>
      <c r="C47" s="139"/>
      <c r="D47" s="139" t="s">
        <v>361</v>
      </c>
    </row>
    <row r="48" spans="1:4">
      <c r="A48" s="139" t="s">
        <v>504</v>
      </c>
      <c r="B48" s="139">
        <v>3488184.6</v>
      </c>
      <c r="C48" s="139"/>
      <c r="D48" s="139" t="s">
        <v>362</v>
      </c>
    </row>
    <row r="49" spans="1:4">
      <c r="A49" s="139" t="s">
        <v>505</v>
      </c>
      <c r="B49" s="139">
        <v>1994757.17</v>
      </c>
      <c r="C49" s="139"/>
      <c r="D49" s="139" t="s">
        <v>363</v>
      </c>
    </row>
    <row r="50" spans="1:4">
      <c r="A50" s="139" t="s">
        <v>506</v>
      </c>
      <c r="B50" s="139">
        <v>-456.75</v>
      </c>
      <c r="C50" s="139"/>
      <c r="D50" s="139" t="s">
        <v>364</v>
      </c>
    </row>
    <row r="51" spans="1:4">
      <c r="A51" s="139" t="s">
        <v>507</v>
      </c>
      <c r="B51" s="139">
        <v>18366.14</v>
      </c>
      <c r="C51" s="139"/>
      <c r="D51" s="139" t="s">
        <v>365</v>
      </c>
    </row>
    <row r="52" spans="1:4">
      <c r="A52" s="139" t="s">
        <v>508</v>
      </c>
      <c r="B52" s="139"/>
      <c r="C52" s="139"/>
      <c r="D52" s="139" t="s">
        <v>366</v>
      </c>
    </row>
    <row r="53" spans="1:4">
      <c r="A53" s="139" t="s">
        <v>509</v>
      </c>
      <c r="B53" s="139"/>
      <c r="C53" s="139"/>
      <c r="D53" s="139" t="s">
        <v>367</v>
      </c>
    </row>
    <row r="54" spans="1:4">
      <c r="A54" s="139" t="s">
        <v>510</v>
      </c>
      <c r="B54" s="139"/>
      <c r="C54" s="139"/>
      <c r="D54" s="139" t="s">
        <v>368</v>
      </c>
    </row>
    <row r="55" spans="1:4">
      <c r="A55" s="139" t="s">
        <v>511</v>
      </c>
      <c r="B55" s="139"/>
      <c r="C55" s="139"/>
      <c r="D55" s="139" t="s">
        <v>369</v>
      </c>
    </row>
    <row r="56" spans="1:4">
      <c r="A56" s="139" t="s">
        <v>512</v>
      </c>
      <c r="B56" s="139"/>
      <c r="C56" s="139"/>
      <c r="D56" s="139" t="s">
        <v>370</v>
      </c>
    </row>
    <row r="57" spans="1:4">
      <c r="A57" s="139" t="s">
        <v>513</v>
      </c>
      <c r="B57" s="139"/>
      <c r="C57" s="139"/>
      <c r="D57" s="139" t="s">
        <v>371</v>
      </c>
    </row>
    <row r="58" spans="1:4">
      <c r="A58" s="139" t="s">
        <v>514</v>
      </c>
      <c r="B58" s="139"/>
      <c r="C58" s="139"/>
      <c r="D58" s="139" t="s">
        <v>372</v>
      </c>
    </row>
    <row r="59" spans="1:4">
      <c r="A59" s="139" t="s">
        <v>515</v>
      </c>
      <c r="B59" s="139">
        <v>1812371.82</v>
      </c>
      <c r="C59" s="139"/>
      <c r="D59" s="139" t="s">
        <v>373</v>
      </c>
    </row>
    <row r="60" spans="1:4">
      <c r="A60" s="139" t="s">
        <v>516</v>
      </c>
      <c r="B60" s="139"/>
      <c r="C60" s="139"/>
      <c r="D60" s="139" t="s">
        <v>374</v>
      </c>
    </row>
    <row r="61" spans="1:4">
      <c r="A61" s="139" t="s">
        <v>517</v>
      </c>
      <c r="B61" s="139"/>
      <c r="C61" s="139"/>
      <c r="D61" s="139" t="s">
        <v>375</v>
      </c>
    </row>
    <row r="62" spans="1:4">
      <c r="A62" s="139" t="s">
        <v>518</v>
      </c>
      <c r="B62" s="139"/>
      <c r="C62" s="139"/>
      <c r="D62" s="139" t="s">
        <v>376</v>
      </c>
    </row>
    <row r="63" spans="1:4">
      <c r="A63" s="139" t="s">
        <v>519</v>
      </c>
      <c r="B63" s="139"/>
      <c r="C63" s="139"/>
      <c r="D63" s="139" t="s">
        <v>377</v>
      </c>
    </row>
    <row r="64" spans="1:4">
      <c r="A64" s="139" t="s">
        <v>520</v>
      </c>
      <c r="B64" s="139"/>
      <c r="C64" s="139"/>
      <c r="D64" s="139" t="s">
        <v>378</v>
      </c>
    </row>
    <row r="65" spans="1:9">
      <c r="A65" s="139" t="s">
        <v>521</v>
      </c>
      <c r="B65" s="139">
        <v>242856.87</v>
      </c>
      <c r="C65" s="139"/>
      <c r="D65" s="139" t="s">
        <v>379</v>
      </c>
    </row>
    <row r="66" spans="1:9">
      <c r="A66" s="139" t="s">
        <v>522</v>
      </c>
      <c r="B66" s="139"/>
      <c r="C66" s="139"/>
      <c r="D66" s="139" t="s">
        <v>380</v>
      </c>
    </row>
    <row r="67" spans="1:9">
      <c r="A67" s="139" t="s">
        <v>523</v>
      </c>
      <c r="B67" s="139">
        <v>19368.939999999999</v>
      </c>
      <c r="C67" s="139"/>
      <c r="D67" s="139" t="s">
        <v>381</v>
      </c>
    </row>
    <row r="68" spans="1:9">
      <c r="A68" s="139" t="s">
        <v>524</v>
      </c>
      <c r="B68" s="139">
        <v>108129.91</v>
      </c>
      <c r="C68" s="139"/>
      <c r="D68" s="139" t="s">
        <v>382</v>
      </c>
    </row>
    <row r="69" spans="1:9">
      <c r="A69" s="139" t="s">
        <v>525</v>
      </c>
      <c r="B69" s="139"/>
      <c r="C69" s="139"/>
      <c r="D69" s="139" t="s">
        <v>383</v>
      </c>
    </row>
    <row r="70" spans="1:9">
      <c r="A70" s="139" t="s">
        <v>526</v>
      </c>
      <c r="B70" s="139">
        <v>-240800</v>
      </c>
      <c r="C70" s="139"/>
      <c r="D70" s="139" t="s">
        <v>384</v>
      </c>
    </row>
    <row r="71" spans="1:9">
      <c r="A71" s="139" t="s">
        <v>527</v>
      </c>
      <c r="B71" s="139"/>
      <c r="C71" s="139"/>
      <c r="D71" s="139" t="s">
        <v>385</v>
      </c>
    </row>
    <row r="72" spans="1:9">
      <c r="A72" s="139" t="s">
        <v>528</v>
      </c>
      <c r="B72" s="139"/>
      <c r="C72" s="139"/>
      <c r="D72" s="139" t="s">
        <v>386</v>
      </c>
    </row>
    <row r="73" spans="1:9">
      <c r="A73" s="139" t="s">
        <v>529</v>
      </c>
      <c r="B73" s="139">
        <v>-48160</v>
      </c>
      <c r="C73" s="139"/>
      <c r="D73" s="139" t="s">
        <v>387</v>
      </c>
    </row>
    <row r="74" spans="1:9">
      <c r="A74" s="139" t="s">
        <v>530</v>
      </c>
      <c r="B74" s="139">
        <v>-7222978.0499999998</v>
      </c>
      <c r="C74" s="139"/>
      <c r="D74" s="139" t="s">
        <v>388</v>
      </c>
    </row>
    <row r="75" spans="1:9" s="410" customFormat="1">
      <c r="A75" s="414" t="s">
        <v>1285</v>
      </c>
      <c r="B75" s="139"/>
      <c r="C75" s="415"/>
      <c r="D75" s="415" t="s">
        <v>1284</v>
      </c>
      <c r="E75" s="412"/>
      <c r="F75" s="412"/>
      <c r="G75" s="412"/>
      <c r="H75" s="412"/>
      <c r="I75" s="412"/>
    </row>
    <row r="76" spans="1:9" s="410" customFormat="1">
      <c r="A76" s="414" t="s">
        <v>1343</v>
      </c>
      <c r="B76" s="139"/>
      <c r="C76" s="415"/>
      <c r="D76" s="415" t="s">
        <v>1341</v>
      </c>
      <c r="E76" s="412"/>
      <c r="F76" s="412"/>
      <c r="G76" s="412"/>
      <c r="H76" s="412"/>
      <c r="I76" s="412"/>
    </row>
    <row r="77" spans="1:9" s="410" customFormat="1">
      <c r="A77" s="414" t="s">
        <v>1344</v>
      </c>
      <c r="B77" s="139"/>
      <c r="C77" s="415"/>
      <c r="D77" s="415" t="s">
        <v>1342</v>
      </c>
      <c r="E77" s="412"/>
      <c r="F77" s="412"/>
      <c r="G77" s="412"/>
      <c r="H77" s="412"/>
      <c r="I77" s="412"/>
    </row>
    <row r="78" spans="1:9">
      <c r="A78" s="140" t="s">
        <v>531</v>
      </c>
      <c r="B78" s="139"/>
      <c r="C78" s="139"/>
      <c r="D78" s="139" t="s">
        <v>389</v>
      </c>
    </row>
    <row r="79" spans="1:9">
      <c r="A79" s="139" t="s">
        <v>532</v>
      </c>
      <c r="B79" s="139"/>
      <c r="C79" s="139"/>
      <c r="D79" s="139" t="s">
        <v>390</v>
      </c>
    </row>
    <row r="80" spans="1:9">
      <c r="A80" s="139" t="s">
        <v>533</v>
      </c>
      <c r="B80" s="139"/>
      <c r="C80" s="139"/>
      <c r="D80" s="139" t="s">
        <v>391</v>
      </c>
    </row>
    <row r="81" spans="1:4">
      <c r="A81" s="139" t="s">
        <v>534</v>
      </c>
      <c r="B81" s="139"/>
      <c r="C81" s="139"/>
      <c r="D81" s="139" t="s">
        <v>392</v>
      </c>
    </row>
    <row r="82" spans="1:4">
      <c r="A82" s="139" t="s">
        <v>535</v>
      </c>
      <c r="B82" s="139">
        <v>-1140307.08</v>
      </c>
      <c r="C82" s="139"/>
      <c r="D82" s="139" t="s">
        <v>393</v>
      </c>
    </row>
    <row r="83" spans="1:4">
      <c r="A83" s="139" t="s">
        <v>536</v>
      </c>
      <c r="B83" s="139"/>
      <c r="C83" s="139"/>
      <c r="D83" s="139" t="s">
        <v>394</v>
      </c>
    </row>
    <row r="84" spans="1:4">
      <c r="A84" s="139" t="s">
        <v>537</v>
      </c>
      <c r="B84" s="139"/>
      <c r="C84" s="139"/>
      <c r="D84" s="139" t="s">
        <v>395</v>
      </c>
    </row>
    <row r="85" spans="1:4">
      <c r="A85" s="139" t="s">
        <v>538</v>
      </c>
      <c r="B85" s="139"/>
      <c r="C85" s="139"/>
      <c r="D85" s="139" t="s">
        <v>396</v>
      </c>
    </row>
    <row r="86" spans="1:4">
      <c r="A86" s="139" t="s">
        <v>539</v>
      </c>
      <c r="B86" s="139"/>
      <c r="C86" s="139"/>
      <c r="D86" s="139" t="s">
        <v>397</v>
      </c>
    </row>
    <row r="87" spans="1:4">
      <c r="A87" s="139" t="s">
        <v>540</v>
      </c>
      <c r="B87" s="139"/>
      <c r="C87" s="139"/>
      <c r="D87" s="139" t="s">
        <v>398</v>
      </c>
    </row>
    <row r="88" spans="1:4">
      <c r="A88" s="139" t="s">
        <v>541</v>
      </c>
      <c r="B88" s="139"/>
      <c r="C88" s="139"/>
      <c r="D88" s="139" t="s">
        <v>399</v>
      </c>
    </row>
    <row r="89" spans="1:4">
      <c r="A89" s="139" t="s">
        <v>542</v>
      </c>
      <c r="B89" s="139"/>
      <c r="C89" s="139"/>
      <c r="D89" s="139" t="s">
        <v>400</v>
      </c>
    </row>
    <row r="90" spans="1:4">
      <c r="A90" s="139" t="s">
        <v>543</v>
      </c>
      <c r="B90" s="139">
        <v>-30330.99</v>
      </c>
      <c r="C90" s="139"/>
      <c r="D90" s="139" t="s">
        <v>401</v>
      </c>
    </row>
    <row r="91" spans="1:4">
      <c r="A91" s="139" t="s">
        <v>544</v>
      </c>
      <c r="B91" s="139"/>
      <c r="C91" s="139"/>
      <c r="D91" s="139" t="s">
        <v>402</v>
      </c>
    </row>
    <row r="92" spans="1:4">
      <c r="A92" s="139" t="s">
        <v>545</v>
      </c>
      <c r="B92" s="139">
        <v>-62402.28</v>
      </c>
      <c r="C92" s="139"/>
      <c r="D92" s="139" t="s">
        <v>403</v>
      </c>
    </row>
    <row r="93" spans="1:4">
      <c r="A93" s="139" t="s">
        <v>546</v>
      </c>
      <c r="B93" s="139"/>
      <c r="C93" s="139"/>
      <c r="D93" s="139" t="s">
        <v>404</v>
      </c>
    </row>
    <row r="94" spans="1:4">
      <c r="A94" s="139" t="s">
        <v>547</v>
      </c>
      <c r="B94" s="139">
        <v>-8830.52</v>
      </c>
      <c r="C94" s="139"/>
      <c r="D94" s="139" t="s">
        <v>405</v>
      </c>
    </row>
    <row r="95" spans="1:4">
      <c r="A95" s="139" t="s">
        <v>548</v>
      </c>
      <c r="B95" s="139"/>
      <c r="C95" s="139"/>
      <c r="D95" s="139" t="s">
        <v>406</v>
      </c>
    </row>
    <row r="96" spans="1:4">
      <c r="A96" s="139" t="s">
        <v>549</v>
      </c>
      <c r="B96" s="139">
        <v>12.41</v>
      </c>
      <c r="C96" s="139"/>
      <c r="D96" s="139" t="s">
        <v>407</v>
      </c>
    </row>
    <row r="97" spans="1:4">
      <c r="A97" s="139" t="s">
        <v>550</v>
      </c>
      <c r="B97" s="139"/>
      <c r="C97" s="139"/>
      <c r="D97" s="139" t="s">
        <v>408</v>
      </c>
    </row>
    <row r="98" spans="1:4">
      <c r="A98" s="139" t="s">
        <v>551</v>
      </c>
      <c r="B98" s="139"/>
      <c r="C98" s="139"/>
      <c r="D98" s="139" t="s">
        <v>409</v>
      </c>
    </row>
    <row r="99" spans="1:4">
      <c r="A99" s="139" t="s">
        <v>552</v>
      </c>
      <c r="B99" s="139"/>
      <c r="C99" s="139"/>
      <c r="D99" s="139" t="s">
        <v>410</v>
      </c>
    </row>
    <row r="100" spans="1:4">
      <c r="A100" s="141" t="s">
        <v>553</v>
      </c>
      <c r="B100" s="139"/>
      <c r="C100" s="139"/>
      <c r="D100" s="139" t="s">
        <v>411</v>
      </c>
    </row>
    <row r="101" spans="1:4">
      <c r="A101" s="139" t="s">
        <v>554</v>
      </c>
      <c r="B101" s="139">
        <v>-3050000</v>
      </c>
      <c r="C101" s="139"/>
      <c r="D101" s="139" t="s">
        <v>412</v>
      </c>
    </row>
    <row r="102" spans="1:4">
      <c r="A102" s="140" t="s">
        <v>555</v>
      </c>
      <c r="B102" s="139">
        <v>11.88</v>
      </c>
      <c r="C102" s="139"/>
      <c r="D102" s="139" t="s">
        <v>413</v>
      </c>
    </row>
    <row r="103" spans="1:4">
      <c r="A103" s="139" t="s">
        <v>556</v>
      </c>
      <c r="B103" s="139"/>
      <c r="C103" s="139"/>
      <c r="D103" s="139" t="s">
        <v>414</v>
      </c>
    </row>
    <row r="104" spans="1:4">
      <c r="A104" s="139" t="s">
        <v>557</v>
      </c>
      <c r="B104" s="139"/>
      <c r="C104" s="139"/>
      <c r="D104" s="139" t="s">
        <v>415</v>
      </c>
    </row>
    <row r="105" spans="1:4">
      <c r="A105" s="139" t="s">
        <v>558</v>
      </c>
      <c r="B105" s="139"/>
      <c r="C105" s="139"/>
      <c r="D105" s="139" t="s">
        <v>416</v>
      </c>
    </row>
    <row r="106" spans="1:4" s="412" customFormat="1">
      <c r="A106" s="414" t="s">
        <v>1288</v>
      </c>
      <c r="B106" s="139"/>
      <c r="C106" s="415"/>
      <c r="D106" s="415" t="s">
        <v>1286</v>
      </c>
    </row>
    <row r="107" spans="1:4" s="412" customFormat="1">
      <c r="A107" s="414" t="s">
        <v>1289</v>
      </c>
      <c r="B107" s="139">
        <v>-513768.85</v>
      </c>
      <c r="C107" s="415"/>
      <c r="D107" s="415" t="s">
        <v>1287</v>
      </c>
    </row>
    <row r="108" spans="1:4">
      <c r="A108" s="139" t="s">
        <v>559</v>
      </c>
      <c r="B108" s="139"/>
      <c r="C108" s="139"/>
      <c r="D108" s="139" t="s">
        <v>417</v>
      </c>
    </row>
    <row r="109" spans="1:4">
      <c r="A109" s="139" t="s">
        <v>560</v>
      </c>
      <c r="B109" s="139">
        <v>-2978426.33</v>
      </c>
      <c r="C109" s="139"/>
      <c r="D109" s="139" t="s">
        <v>418</v>
      </c>
    </row>
    <row r="110" spans="1:4">
      <c r="A110" s="139" t="s">
        <v>561</v>
      </c>
      <c r="B110" s="139"/>
      <c r="C110" s="139"/>
      <c r="D110" s="139" t="s">
        <v>419</v>
      </c>
    </row>
    <row r="111" spans="1:4">
      <c r="A111" s="139" t="s">
        <v>562</v>
      </c>
      <c r="B111" s="139"/>
      <c r="C111" s="139"/>
      <c r="D111" s="139" t="s">
        <v>420</v>
      </c>
    </row>
    <row r="112" spans="1:4">
      <c r="A112" s="139" t="s">
        <v>563</v>
      </c>
      <c r="B112" s="139">
        <v>-50082.92</v>
      </c>
      <c r="C112" s="139"/>
      <c r="D112" s="139" t="s">
        <v>421</v>
      </c>
    </row>
    <row r="113" spans="1:8">
      <c r="A113" s="141" t="s">
        <v>564</v>
      </c>
      <c r="B113" s="139"/>
      <c r="C113" s="139"/>
      <c r="D113" s="139" t="s">
        <v>422</v>
      </c>
    </row>
    <row r="114" spans="1:8">
      <c r="A114" s="139" t="s">
        <v>565</v>
      </c>
      <c r="B114" s="139">
        <v>-111010.39</v>
      </c>
      <c r="C114" s="139"/>
      <c r="D114" s="139" t="s">
        <v>423</v>
      </c>
    </row>
    <row r="115" spans="1:8">
      <c r="A115" s="139" t="s">
        <v>566</v>
      </c>
      <c r="B115" s="139">
        <v>-1610965.32</v>
      </c>
      <c r="C115" s="139"/>
      <c r="D115" s="139" t="s">
        <v>424</v>
      </c>
    </row>
    <row r="116" spans="1:8">
      <c r="A116" s="139" t="s">
        <v>567</v>
      </c>
      <c r="B116" s="139">
        <v>-270399.83</v>
      </c>
      <c r="C116" s="139"/>
      <c r="D116" s="139" t="s">
        <v>425</v>
      </c>
    </row>
    <row r="117" spans="1:8">
      <c r="A117" s="139" t="s">
        <v>568</v>
      </c>
      <c r="B117" s="139">
        <v>-770087.38</v>
      </c>
      <c r="C117" s="139"/>
      <c r="D117" s="139" t="s">
        <v>426</v>
      </c>
    </row>
    <row r="118" spans="1:8">
      <c r="A118" s="139" t="s">
        <v>569</v>
      </c>
      <c r="B118" s="139">
        <v>-206455.9</v>
      </c>
      <c r="C118" s="139"/>
      <c r="D118" s="139" t="s">
        <v>427</v>
      </c>
    </row>
    <row r="119" spans="1:8">
      <c r="A119" s="139" t="s">
        <v>570</v>
      </c>
      <c r="B119" s="139">
        <v>41917.18</v>
      </c>
      <c r="C119" s="139"/>
      <c r="D119" s="139" t="s">
        <v>428</v>
      </c>
    </row>
    <row r="120" spans="1:8">
      <c r="A120" s="139" t="s">
        <v>571</v>
      </c>
      <c r="B120" s="139">
        <v>-191990.32</v>
      </c>
      <c r="C120" s="139"/>
      <c r="D120" s="139" t="s">
        <v>429</v>
      </c>
    </row>
    <row r="121" spans="1:8">
      <c r="A121" s="139" t="s">
        <v>572</v>
      </c>
      <c r="B121" s="139">
        <v>-21764.22</v>
      </c>
      <c r="C121" s="139"/>
      <c r="D121" s="139" t="s">
        <v>430</v>
      </c>
    </row>
    <row r="122" spans="1:8">
      <c r="A122" s="139" t="s">
        <v>573</v>
      </c>
      <c r="B122" s="139"/>
      <c r="C122" s="139"/>
      <c r="D122" s="139" t="s">
        <v>431</v>
      </c>
    </row>
    <row r="123" spans="1:8">
      <c r="A123" s="412" t="s">
        <v>1229</v>
      </c>
      <c r="B123" s="139"/>
      <c r="C123" s="412"/>
      <c r="D123" s="412" t="s">
        <v>1228</v>
      </c>
      <c r="E123" s="412"/>
      <c r="F123" s="412"/>
    </row>
    <row r="124" spans="1:8">
      <c r="A124" s="139" t="s">
        <v>574</v>
      </c>
      <c r="B124" s="139">
        <v>-15923135.140000001</v>
      </c>
      <c r="C124" s="139"/>
      <c r="D124" s="139" t="s">
        <v>432</v>
      </c>
    </row>
    <row r="125" spans="1:8">
      <c r="A125" s="139" t="s">
        <v>575</v>
      </c>
      <c r="B125" s="139">
        <v>-42954.85</v>
      </c>
      <c r="C125" s="139"/>
      <c r="D125" s="139" t="s">
        <v>433</v>
      </c>
    </row>
    <row r="126" spans="1:8" s="410" customFormat="1">
      <c r="A126" s="414" t="s">
        <v>1291</v>
      </c>
      <c r="B126" s="139"/>
      <c r="C126" s="415"/>
      <c r="D126" s="415" t="s">
        <v>1290</v>
      </c>
      <c r="E126" s="412"/>
      <c r="F126" s="412"/>
      <c r="G126" s="412"/>
      <c r="H126" s="412"/>
    </row>
    <row r="127" spans="1:8">
      <c r="A127" s="139" t="s">
        <v>576</v>
      </c>
      <c r="B127" s="139">
        <v>-103707.11</v>
      </c>
      <c r="C127" s="139"/>
      <c r="D127" s="139" t="s">
        <v>434</v>
      </c>
    </row>
    <row r="128" spans="1:8">
      <c r="A128" s="139" t="s">
        <v>577</v>
      </c>
      <c r="B128" s="139"/>
      <c r="C128" s="139"/>
      <c r="D128" s="139" t="s">
        <v>435</v>
      </c>
    </row>
    <row r="129" spans="1:8">
      <c r="A129" s="139" t="s">
        <v>578</v>
      </c>
      <c r="B129" s="139">
        <v>2223011.9700000002</v>
      </c>
      <c r="C129" s="139"/>
      <c r="D129" s="139" t="s">
        <v>436</v>
      </c>
    </row>
    <row r="130" spans="1:8">
      <c r="A130" s="139" t="s">
        <v>579</v>
      </c>
      <c r="B130" s="139">
        <v>5242870.93</v>
      </c>
      <c r="C130" s="139"/>
      <c r="D130" s="139" t="s">
        <v>437</v>
      </c>
    </row>
    <row r="131" spans="1:8">
      <c r="A131" s="139" t="s">
        <v>580</v>
      </c>
      <c r="B131" s="139">
        <v>43775.19</v>
      </c>
      <c r="C131" s="139"/>
      <c r="D131" s="139" t="s">
        <v>438</v>
      </c>
    </row>
    <row r="132" spans="1:8">
      <c r="A132" s="139" t="s">
        <v>581</v>
      </c>
      <c r="B132" s="139"/>
      <c r="C132" s="139"/>
      <c r="D132" s="139" t="s">
        <v>439</v>
      </c>
    </row>
    <row r="133" spans="1:8">
      <c r="A133" s="139" t="s">
        <v>582</v>
      </c>
      <c r="B133" s="139">
        <v>-64711.13</v>
      </c>
      <c r="C133" s="139"/>
      <c r="D133" s="139" t="s">
        <v>440</v>
      </c>
    </row>
    <row r="134" spans="1:8">
      <c r="A134" s="139" t="s">
        <v>583</v>
      </c>
      <c r="B134" s="139">
        <v>-6756.63</v>
      </c>
      <c r="C134" s="139"/>
      <c r="D134" s="139" t="s">
        <v>441</v>
      </c>
    </row>
    <row r="135" spans="1:8">
      <c r="A135" s="139" t="s">
        <v>584</v>
      </c>
      <c r="B135" s="139">
        <v>2336268.56</v>
      </c>
      <c r="C135" s="139"/>
      <c r="D135" s="139" t="s">
        <v>442</v>
      </c>
    </row>
    <row r="136" spans="1:8">
      <c r="A136" s="139" t="s">
        <v>585</v>
      </c>
      <c r="B136" s="139">
        <v>609785.4</v>
      </c>
      <c r="C136" s="139"/>
      <c r="D136" s="139" t="s">
        <v>443</v>
      </c>
    </row>
    <row r="137" spans="1:8">
      <c r="A137" s="139" t="s">
        <v>586</v>
      </c>
      <c r="B137" s="139"/>
      <c r="C137" s="139"/>
      <c r="D137" s="139" t="s">
        <v>444</v>
      </c>
    </row>
    <row r="138" spans="1:8">
      <c r="A138" s="139" t="s">
        <v>587</v>
      </c>
      <c r="B138" s="139">
        <v>3919277.18</v>
      </c>
      <c r="C138" s="139"/>
      <c r="D138" s="139" t="s">
        <v>445</v>
      </c>
    </row>
    <row r="139" spans="1:8">
      <c r="A139" s="139" t="s">
        <v>588</v>
      </c>
      <c r="B139" s="139">
        <v>35011.56</v>
      </c>
      <c r="C139" s="139"/>
      <c r="D139" s="139" t="s">
        <v>446</v>
      </c>
    </row>
    <row r="140" spans="1:8">
      <c r="A140" s="139" t="s">
        <v>589</v>
      </c>
      <c r="B140" s="139">
        <v>-6492.99</v>
      </c>
      <c r="C140" s="139"/>
      <c r="D140" s="139" t="s">
        <v>447</v>
      </c>
    </row>
    <row r="141" spans="1:8">
      <c r="A141" s="139" t="s">
        <v>590</v>
      </c>
      <c r="B141" s="139">
        <v>-6630.57</v>
      </c>
      <c r="C141" s="139"/>
      <c r="D141" s="139" t="s">
        <v>448</v>
      </c>
    </row>
    <row r="142" spans="1:8" s="410" customFormat="1">
      <c r="A142" s="414" t="s">
        <v>1293</v>
      </c>
      <c r="B142" s="139"/>
      <c r="C142" s="415"/>
      <c r="D142" s="415" t="s">
        <v>1292</v>
      </c>
      <c r="E142" s="412"/>
      <c r="F142" s="412"/>
      <c r="G142" s="412"/>
      <c r="H142" s="412"/>
    </row>
    <row r="143" spans="1:8">
      <c r="A143" s="139" t="s">
        <v>591</v>
      </c>
      <c r="B143" s="139">
        <v>539585.41</v>
      </c>
      <c r="C143" s="139"/>
      <c r="D143" s="139" t="s">
        <v>449</v>
      </c>
    </row>
    <row r="144" spans="1:8">
      <c r="A144" s="139" t="s">
        <v>592</v>
      </c>
      <c r="B144" s="139"/>
      <c r="C144" s="139"/>
      <c r="D144" s="139" t="s">
        <v>450</v>
      </c>
    </row>
    <row r="145" spans="1:8">
      <c r="A145" s="139" t="s">
        <v>593</v>
      </c>
      <c r="B145" s="139"/>
      <c r="C145" s="139"/>
      <c r="D145" s="139" t="s">
        <v>451</v>
      </c>
    </row>
    <row r="146" spans="1:8">
      <c r="A146" s="139" t="s">
        <v>594</v>
      </c>
      <c r="B146" s="139"/>
      <c r="C146" s="139"/>
      <c r="D146" s="139" t="s">
        <v>452</v>
      </c>
    </row>
    <row r="147" spans="1:8">
      <c r="A147" s="139" t="s">
        <v>595</v>
      </c>
      <c r="B147" s="139"/>
      <c r="C147" s="139"/>
      <c r="D147" s="139" t="s">
        <v>453</v>
      </c>
    </row>
    <row r="148" spans="1:8" s="410" customFormat="1">
      <c r="A148" s="414" t="s">
        <v>1295</v>
      </c>
      <c r="B148" s="415"/>
      <c r="C148" s="415"/>
      <c r="D148" s="415" t="s">
        <v>1294</v>
      </c>
      <c r="E148" s="412"/>
      <c r="F148" s="412"/>
      <c r="G148" s="412"/>
      <c r="H148" s="412"/>
    </row>
    <row r="149" spans="1:8">
      <c r="A149" s="139" t="s">
        <v>596</v>
      </c>
      <c r="B149" s="139"/>
      <c r="C149" s="139"/>
      <c r="D149" s="139" t="s">
        <v>454</v>
      </c>
    </row>
    <row r="150" spans="1:8">
      <c r="A150" s="139" t="s">
        <v>597</v>
      </c>
      <c r="B150" s="139"/>
      <c r="C150" s="139"/>
      <c r="D150" s="139" t="s">
        <v>455</v>
      </c>
    </row>
    <row r="151" spans="1:8">
      <c r="A151" s="139" t="s">
        <v>598</v>
      </c>
      <c r="B151" s="139"/>
      <c r="C151" s="139"/>
      <c r="D151" s="139" t="s">
        <v>456</v>
      </c>
    </row>
    <row r="152" spans="1:8">
      <c r="A152" s="139" t="s">
        <v>599</v>
      </c>
      <c r="B152" s="139"/>
      <c r="C152" s="139"/>
      <c r="D152" s="139" t="s">
        <v>457</v>
      </c>
    </row>
    <row r="153" spans="1:8">
      <c r="A153" s="139" t="s">
        <v>600</v>
      </c>
      <c r="B153" s="139"/>
      <c r="C153" s="139"/>
      <c r="D153" s="139" t="s">
        <v>458</v>
      </c>
    </row>
    <row r="154" spans="1:8">
      <c r="A154" s="139" t="s">
        <v>601</v>
      </c>
      <c r="B154" s="139"/>
      <c r="C154" s="139"/>
      <c r="D154" s="139" t="s">
        <v>459</v>
      </c>
    </row>
    <row r="155" spans="1:8" s="410" customFormat="1">
      <c r="A155" s="414" t="s">
        <v>1297</v>
      </c>
      <c r="B155" s="139"/>
      <c r="C155" s="415"/>
      <c r="D155" s="415" t="s">
        <v>1296</v>
      </c>
      <c r="E155" s="412"/>
      <c r="F155" s="412"/>
      <c r="G155" s="412"/>
      <c r="H155" s="412"/>
    </row>
    <row r="156" spans="1:8">
      <c r="A156" s="139" t="s">
        <v>602</v>
      </c>
      <c r="B156" s="139">
        <v>13304.67</v>
      </c>
      <c r="C156" s="139"/>
      <c r="D156" s="139" t="s">
        <v>460</v>
      </c>
    </row>
    <row r="157" spans="1:8">
      <c r="A157" s="139" t="s">
        <v>603</v>
      </c>
      <c r="B157" s="139">
        <v>31935.5</v>
      </c>
      <c r="C157" s="139"/>
      <c r="D157" s="139" t="s">
        <v>461</v>
      </c>
    </row>
    <row r="158" spans="1:8">
      <c r="A158" s="139" t="s">
        <v>604</v>
      </c>
      <c r="B158" s="139"/>
      <c r="C158" s="139"/>
      <c r="D158" s="139" t="s">
        <v>462</v>
      </c>
    </row>
    <row r="159" spans="1:8">
      <c r="A159" s="139" t="s">
        <v>605</v>
      </c>
      <c r="B159" s="139"/>
      <c r="C159" s="139"/>
      <c r="D159" s="139" t="s">
        <v>463</v>
      </c>
    </row>
    <row r="160" spans="1:8">
      <c r="A160" s="139" t="s">
        <v>606</v>
      </c>
      <c r="B160" s="139">
        <v>19254.97</v>
      </c>
      <c r="C160" s="139"/>
      <c r="D160" s="139" t="s">
        <v>464</v>
      </c>
    </row>
    <row r="161" spans="1:8">
      <c r="A161" s="139" t="s">
        <v>607</v>
      </c>
      <c r="B161" s="139"/>
      <c r="C161" s="139"/>
      <c r="D161" s="139" t="s">
        <v>465</v>
      </c>
    </row>
    <row r="162" spans="1:8">
      <c r="A162" s="139" t="s">
        <v>608</v>
      </c>
      <c r="B162" s="139"/>
      <c r="C162" s="139"/>
      <c r="D162" s="139" t="s">
        <v>466</v>
      </c>
    </row>
    <row r="163" spans="1:8">
      <c r="A163" s="139" t="s">
        <v>609</v>
      </c>
      <c r="B163" s="139"/>
      <c r="C163" s="139"/>
      <c r="D163" s="139" t="s">
        <v>467</v>
      </c>
    </row>
    <row r="164" spans="1:8">
      <c r="A164" s="139" t="s">
        <v>610</v>
      </c>
      <c r="B164" s="139"/>
      <c r="C164" s="139"/>
      <c r="D164" s="139" t="s">
        <v>468</v>
      </c>
    </row>
    <row r="165" spans="1:8">
      <c r="A165" s="416" t="s">
        <v>611</v>
      </c>
      <c r="B165" s="416"/>
      <c r="C165" s="416"/>
      <c r="D165" s="416" t="s">
        <v>469</v>
      </c>
      <c r="E165" s="417"/>
      <c r="F165" s="417"/>
      <c r="G165" s="417"/>
      <c r="H165" s="417"/>
    </row>
    <row r="166" spans="1:8">
      <c r="A166" s="418" t="s">
        <v>612</v>
      </c>
      <c r="B166" s="418"/>
      <c r="C166" s="418"/>
      <c r="D166" s="418" t="s">
        <v>470</v>
      </c>
      <c r="E166" s="419"/>
      <c r="F166" s="419"/>
      <c r="G166" s="419"/>
      <c r="H166" s="419"/>
    </row>
    <row r="167" spans="1:8">
      <c r="A167" s="139" t="s">
        <v>786</v>
      </c>
      <c r="B167" s="139"/>
      <c r="C167" s="139"/>
      <c r="D167" s="139" t="s">
        <v>329</v>
      </c>
    </row>
    <row r="168" spans="1:8">
      <c r="A168" s="139" t="s">
        <v>787</v>
      </c>
      <c r="B168" s="139"/>
      <c r="C168" s="139"/>
      <c r="D168" s="139" t="s">
        <v>330</v>
      </c>
    </row>
    <row r="169" spans="1:8">
      <c r="A169" s="139" t="s">
        <v>788</v>
      </c>
      <c r="B169" s="139"/>
      <c r="C169" s="139"/>
      <c r="D169" s="139" t="s">
        <v>331</v>
      </c>
    </row>
    <row r="170" spans="1:8">
      <c r="A170" s="139" t="s">
        <v>789</v>
      </c>
      <c r="B170" s="139"/>
      <c r="C170" s="139"/>
      <c r="D170" s="139" t="s">
        <v>332</v>
      </c>
    </row>
    <row r="171" spans="1:8">
      <c r="A171" s="139" t="s">
        <v>790</v>
      </c>
      <c r="B171" s="139">
        <v>5021.2</v>
      </c>
      <c r="C171" s="139"/>
      <c r="D171" s="139" t="s">
        <v>333</v>
      </c>
    </row>
    <row r="172" spans="1:8">
      <c r="A172" s="139" t="s">
        <v>791</v>
      </c>
      <c r="B172" s="139"/>
      <c r="C172" s="139"/>
      <c r="D172" s="139" t="s">
        <v>334</v>
      </c>
    </row>
    <row r="173" spans="1:8">
      <c r="A173" s="414" t="s">
        <v>1304</v>
      </c>
      <c r="B173" s="139"/>
      <c r="C173" s="415"/>
      <c r="D173" s="415" t="s">
        <v>1281</v>
      </c>
      <c r="E173" s="412"/>
    </row>
    <row r="174" spans="1:8">
      <c r="A174" s="139" t="s">
        <v>793</v>
      </c>
      <c r="B174" s="139">
        <v>4626613.79</v>
      </c>
      <c r="C174" s="139"/>
      <c r="D174" s="139" t="s">
        <v>336</v>
      </c>
    </row>
    <row r="175" spans="1:8">
      <c r="A175" s="139" t="s">
        <v>794</v>
      </c>
      <c r="B175" s="139">
        <v>2747266.46</v>
      </c>
      <c r="C175" s="139"/>
      <c r="D175" s="139" t="s">
        <v>337</v>
      </c>
    </row>
    <row r="176" spans="1:8">
      <c r="A176" s="139" t="s">
        <v>795</v>
      </c>
      <c r="B176" s="139"/>
      <c r="C176" s="139"/>
      <c r="D176" s="139" t="s">
        <v>338</v>
      </c>
    </row>
    <row r="177" spans="1:4">
      <c r="A177" s="139" t="s">
        <v>796</v>
      </c>
      <c r="B177" s="139"/>
      <c r="C177" s="139"/>
      <c r="D177" s="139" t="s">
        <v>339</v>
      </c>
    </row>
    <row r="178" spans="1:4">
      <c r="A178" s="139" t="s">
        <v>797</v>
      </c>
      <c r="B178" s="139"/>
      <c r="C178" s="139"/>
      <c r="D178" s="139" t="s">
        <v>340</v>
      </c>
    </row>
    <row r="179" spans="1:4">
      <c r="A179" s="139" t="s">
        <v>798</v>
      </c>
      <c r="B179" s="139">
        <v>45000</v>
      </c>
      <c r="C179" s="139"/>
      <c r="D179" s="139" t="s">
        <v>341</v>
      </c>
    </row>
    <row r="180" spans="1:4">
      <c r="A180" s="139" t="s">
        <v>799</v>
      </c>
      <c r="B180" s="139"/>
      <c r="C180" s="139"/>
      <c r="D180" s="139" t="s">
        <v>342</v>
      </c>
    </row>
    <row r="181" spans="1:4">
      <c r="A181" s="139" t="s">
        <v>800</v>
      </c>
      <c r="B181" s="139"/>
      <c r="C181" s="139"/>
      <c r="D181" s="139" t="s">
        <v>343</v>
      </c>
    </row>
    <row r="182" spans="1:4">
      <c r="A182" s="139" t="s">
        <v>801</v>
      </c>
      <c r="B182" s="139"/>
      <c r="C182" s="139"/>
      <c r="D182" s="139" t="s">
        <v>344</v>
      </c>
    </row>
    <row r="183" spans="1:4">
      <c r="A183" s="139" t="s">
        <v>802</v>
      </c>
      <c r="B183" s="139"/>
      <c r="C183" s="139"/>
      <c r="D183" s="139" t="s">
        <v>345</v>
      </c>
    </row>
    <row r="184" spans="1:4">
      <c r="A184" s="139" t="s">
        <v>803</v>
      </c>
      <c r="B184" s="139"/>
      <c r="C184" s="139"/>
      <c r="D184" s="139" t="s">
        <v>346</v>
      </c>
    </row>
    <row r="185" spans="1:4">
      <c r="A185" s="139" t="s">
        <v>804</v>
      </c>
      <c r="B185" s="139"/>
      <c r="C185" s="139"/>
      <c r="D185" s="139" t="s">
        <v>347</v>
      </c>
    </row>
    <row r="186" spans="1:4">
      <c r="A186" s="139" t="s">
        <v>805</v>
      </c>
      <c r="B186" s="139">
        <v>11657.14</v>
      </c>
      <c r="C186" s="139"/>
      <c r="D186" s="139" t="s">
        <v>348</v>
      </c>
    </row>
    <row r="187" spans="1:4">
      <c r="A187" s="139" t="s">
        <v>806</v>
      </c>
      <c r="B187" s="139"/>
      <c r="C187" s="139"/>
      <c r="D187" s="139" t="s">
        <v>349</v>
      </c>
    </row>
    <row r="188" spans="1:4">
      <c r="A188" s="139" t="s">
        <v>807</v>
      </c>
      <c r="B188" s="139"/>
      <c r="C188" s="139"/>
      <c r="D188" s="139" t="s">
        <v>350</v>
      </c>
    </row>
    <row r="189" spans="1:4">
      <c r="A189" s="139" t="s">
        <v>808</v>
      </c>
      <c r="B189" s="139">
        <v>1243.4000000000001</v>
      </c>
      <c r="C189" s="139"/>
      <c r="D189" s="139" t="s">
        <v>351</v>
      </c>
    </row>
    <row r="190" spans="1:4">
      <c r="A190" s="139" t="s">
        <v>809</v>
      </c>
      <c r="B190" s="139"/>
      <c r="C190" s="139"/>
      <c r="D190" s="139" t="s">
        <v>352</v>
      </c>
    </row>
    <row r="191" spans="1:4">
      <c r="A191" s="139" t="s">
        <v>810</v>
      </c>
      <c r="B191" s="139">
        <v>176951.27</v>
      </c>
      <c r="C191" s="139"/>
      <c r="D191" s="139" t="s">
        <v>353</v>
      </c>
    </row>
    <row r="192" spans="1:4">
      <c r="A192" s="139" t="s">
        <v>811</v>
      </c>
      <c r="B192" s="139"/>
      <c r="C192" s="139"/>
      <c r="D192" s="139" t="s">
        <v>354</v>
      </c>
    </row>
    <row r="193" spans="1:4">
      <c r="A193" s="139" t="s">
        <v>812</v>
      </c>
      <c r="B193" s="139"/>
      <c r="C193" s="139"/>
      <c r="D193" s="139" t="s">
        <v>355</v>
      </c>
    </row>
    <row r="194" spans="1:4">
      <c r="A194" s="139" t="s">
        <v>813</v>
      </c>
      <c r="B194" s="139">
        <v>820843.68</v>
      </c>
      <c r="C194" s="139"/>
      <c r="D194" s="139" t="s">
        <v>356</v>
      </c>
    </row>
    <row r="195" spans="1:4">
      <c r="A195" s="139" t="s">
        <v>814</v>
      </c>
      <c r="B195" s="139">
        <v>981630.74</v>
      </c>
      <c r="C195" s="139"/>
      <c r="D195" s="139" t="s">
        <v>357</v>
      </c>
    </row>
    <row r="196" spans="1:4">
      <c r="A196" s="139" t="s">
        <v>815</v>
      </c>
      <c r="B196" s="139">
        <v>367091</v>
      </c>
      <c r="C196" s="139"/>
      <c r="D196" s="139" t="s">
        <v>358</v>
      </c>
    </row>
    <row r="197" spans="1:4">
      <c r="A197" s="139" t="s">
        <v>816</v>
      </c>
      <c r="B197" s="139">
        <v>1448937.34</v>
      </c>
      <c r="C197" s="139"/>
      <c r="D197" s="139" t="s">
        <v>359</v>
      </c>
    </row>
    <row r="198" spans="1:4">
      <c r="A198" s="139" t="s">
        <v>817</v>
      </c>
      <c r="B198" s="139"/>
      <c r="C198" s="139"/>
      <c r="D198" s="139" t="s">
        <v>360</v>
      </c>
    </row>
    <row r="199" spans="1:4">
      <c r="A199" s="139" t="s">
        <v>818</v>
      </c>
      <c r="B199" s="139"/>
      <c r="C199" s="139"/>
      <c r="D199" s="139" t="s">
        <v>361</v>
      </c>
    </row>
    <row r="200" spans="1:4">
      <c r="A200" s="139" t="s">
        <v>819</v>
      </c>
      <c r="B200" s="139">
        <v>3011592.7</v>
      </c>
      <c r="C200" s="139"/>
      <c r="D200" s="139" t="s">
        <v>362</v>
      </c>
    </row>
    <row r="201" spans="1:4">
      <c r="A201" s="139" t="s">
        <v>820</v>
      </c>
      <c r="B201" s="139">
        <v>880275.69</v>
      </c>
      <c r="C201" s="139"/>
      <c r="D201" s="139" t="s">
        <v>363</v>
      </c>
    </row>
    <row r="202" spans="1:4">
      <c r="A202" s="139" t="s">
        <v>821</v>
      </c>
      <c r="B202" s="139">
        <v>-1330.38</v>
      </c>
      <c r="C202" s="139"/>
      <c r="D202" s="139" t="s">
        <v>364</v>
      </c>
    </row>
    <row r="203" spans="1:4">
      <c r="A203" s="139" t="s">
        <v>822</v>
      </c>
      <c r="B203" s="139">
        <v>18366.14</v>
      </c>
      <c r="C203" s="139"/>
      <c r="D203" s="139" t="s">
        <v>365</v>
      </c>
    </row>
    <row r="204" spans="1:4">
      <c r="A204" s="139" t="s">
        <v>823</v>
      </c>
      <c r="B204" s="139"/>
      <c r="C204" s="139"/>
      <c r="D204" s="139" t="s">
        <v>366</v>
      </c>
    </row>
    <row r="205" spans="1:4">
      <c r="A205" s="139" t="s">
        <v>824</v>
      </c>
      <c r="B205" s="139"/>
      <c r="C205" s="139"/>
      <c r="D205" s="139" t="s">
        <v>367</v>
      </c>
    </row>
    <row r="206" spans="1:4">
      <c r="A206" s="139" t="s">
        <v>825</v>
      </c>
      <c r="B206" s="139"/>
      <c r="C206" s="139"/>
      <c r="D206" s="139" t="s">
        <v>368</v>
      </c>
    </row>
    <row r="207" spans="1:4">
      <c r="A207" s="139" t="s">
        <v>826</v>
      </c>
      <c r="B207" s="139"/>
      <c r="C207" s="139"/>
      <c r="D207" s="139" t="s">
        <v>369</v>
      </c>
    </row>
    <row r="208" spans="1:4">
      <c r="A208" s="139" t="s">
        <v>827</v>
      </c>
      <c r="B208" s="139"/>
      <c r="C208" s="139"/>
      <c r="D208" s="139" t="s">
        <v>370</v>
      </c>
    </row>
    <row r="209" spans="1:4">
      <c r="A209" s="139" t="s">
        <v>828</v>
      </c>
      <c r="B209" s="139"/>
      <c r="C209" s="139"/>
      <c r="D209" s="139" t="s">
        <v>371</v>
      </c>
    </row>
    <row r="210" spans="1:4">
      <c r="A210" s="139" t="s">
        <v>829</v>
      </c>
      <c r="B210" s="139"/>
      <c r="C210" s="139"/>
      <c r="D210" s="139" t="s">
        <v>372</v>
      </c>
    </row>
    <row r="211" spans="1:4">
      <c r="A211" s="139" t="s">
        <v>830</v>
      </c>
      <c r="B211" s="139">
        <v>1379150.32</v>
      </c>
      <c r="C211" s="139"/>
      <c r="D211" s="139" t="s">
        <v>373</v>
      </c>
    </row>
    <row r="212" spans="1:4">
      <c r="A212" s="139" t="s">
        <v>831</v>
      </c>
      <c r="B212" s="139"/>
      <c r="C212" s="139"/>
      <c r="D212" s="139" t="s">
        <v>374</v>
      </c>
    </row>
    <row r="213" spans="1:4">
      <c r="A213" s="139" t="s">
        <v>832</v>
      </c>
      <c r="B213" s="139"/>
      <c r="C213" s="139"/>
      <c r="D213" s="139" t="s">
        <v>375</v>
      </c>
    </row>
    <row r="214" spans="1:4">
      <c r="A214" s="139" t="s">
        <v>833</v>
      </c>
      <c r="B214" s="139"/>
      <c r="C214" s="139"/>
      <c r="D214" s="139" t="s">
        <v>376</v>
      </c>
    </row>
    <row r="215" spans="1:4">
      <c r="A215" s="139" t="s">
        <v>834</v>
      </c>
      <c r="B215" s="139"/>
      <c r="C215" s="139"/>
      <c r="D215" s="139" t="s">
        <v>377</v>
      </c>
    </row>
    <row r="216" spans="1:4">
      <c r="A216" s="139" t="s">
        <v>835</v>
      </c>
      <c r="B216" s="139"/>
      <c r="C216" s="139"/>
      <c r="D216" s="139" t="s">
        <v>378</v>
      </c>
    </row>
    <row r="217" spans="1:4">
      <c r="A217" s="139" t="s">
        <v>836</v>
      </c>
      <c r="B217" s="139">
        <v>244695.13</v>
      </c>
      <c r="C217" s="139"/>
      <c r="D217" s="139" t="s">
        <v>379</v>
      </c>
    </row>
    <row r="218" spans="1:4">
      <c r="A218" s="139" t="s">
        <v>837</v>
      </c>
      <c r="B218" s="139"/>
      <c r="C218" s="139"/>
      <c r="D218" s="139" t="s">
        <v>380</v>
      </c>
    </row>
    <row r="219" spans="1:4">
      <c r="A219" s="139" t="s">
        <v>838</v>
      </c>
      <c r="B219" s="139">
        <v>58233.02</v>
      </c>
      <c r="C219" s="139"/>
      <c r="D219" s="139" t="s">
        <v>381</v>
      </c>
    </row>
    <row r="220" spans="1:4">
      <c r="A220" s="139" t="s">
        <v>839</v>
      </c>
      <c r="B220" s="139">
        <v>84625.17</v>
      </c>
      <c r="C220" s="139"/>
      <c r="D220" s="139" t="s">
        <v>382</v>
      </c>
    </row>
    <row r="221" spans="1:4">
      <c r="A221" s="139" t="s">
        <v>840</v>
      </c>
      <c r="B221" s="139"/>
      <c r="C221" s="139"/>
      <c r="D221" s="139" t="s">
        <v>383</v>
      </c>
    </row>
    <row r="222" spans="1:4">
      <c r="A222" s="139" t="s">
        <v>841</v>
      </c>
      <c r="B222" s="139">
        <v>-240800</v>
      </c>
      <c r="C222" s="139"/>
      <c r="D222" s="139" t="s">
        <v>384</v>
      </c>
    </row>
    <row r="223" spans="1:4">
      <c r="A223" s="139" t="s">
        <v>842</v>
      </c>
      <c r="B223" s="139"/>
      <c r="C223" s="139"/>
      <c r="D223" s="139" t="s">
        <v>385</v>
      </c>
    </row>
    <row r="224" spans="1:4">
      <c r="A224" s="139" t="s">
        <v>843</v>
      </c>
      <c r="B224" s="139"/>
      <c r="C224" s="139"/>
      <c r="D224" s="139" t="s">
        <v>386</v>
      </c>
    </row>
    <row r="225" spans="1:9">
      <c r="A225" s="139" t="s">
        <v>844</v>
      </c>
      <c r="B225" s="139">
        <v>-48160</v>
      </c>
      <c r="C225" s="139"/>
      <c r="D225" s="139" t="s">
        <v>387</v>
      </c>
    </row>
    <row r="226" spans="1:9">
      <c r="A226" s="139" t="s">
        <v>845</v>
      </c>
      <c r="B226" s="139">
        <v>-6613617.5999999996</v>
      </c>
      <c r="C226" s="139"/>
      <c r="D226" s="139" t="s">
        <v>388</v>
      </c>
    </row>
    <row r="227" spans="1:9" s="410" customFormat="1">
      <c r="A227" s="414" t="s">
        <v>1305</v>
      </c>
      <c r="B227" s="139"/>
      <c r="C227" s="415"/>
      <c r="D227" s="415" t="s">
        <v>1284</v>
      </c>
      <c r="E227" s="412"/>
      <c r="F227" s="412"/>
      <c r="G227" s="412"/>
      <c r="H227" s="412"/>
      <c r="I227" s="412"/>
    </row>
    <row r="228" spans="1:9" s="410" customFormat="1">
      <c r="A228" s="414" t="s">
        <v>1345</v>
      </c>
      <c r="B228" s="139"/>
      <c r="C228" s="415"/>
      <c r="D228" s="415" t="s">
        <v>1341</v>
      </c>
      <c r="E228" s="412"/>
      <c r="F228" s="412"/>
      <c r="G228" s="412"/>
      <c r="H228" s="412"/>
      <c r="I228" s="412"/>
    </row>
    <row r="229" spans="1:9" s="410" customFormat="1">
      <c r="A229" s="414" t="s">
        <v>1346</v>
      </c>
      <c r="B229" s="139"/>
      <c r="C229" s="415"/>
      <c r="D229" s="415" t="s">
        <v>1342</v>
      </c>
      <c r="E229" s="412"/>
      <c r="F229" s="412"/>
      <c r="G229" s="412"/>
      <c r="H229" s="412"/>
      <c r="I229" s="412"/>
    </row>
    <row r="230" spans="1:9">
      <c r="A230" s="139" t="s">
        <v>846</v>
      </c>
      <c r="B230" s="139"/>
      <c r="C230" s="139"/>
      <c r="D230" s="139" t="s">
        <v>389</v>
      </c>
    </row>
    <row r="231" spans="1:9">
      <c r="A231" s="139" t="s">
        <v>847</v>
      </c>
      <c r="B231" s="139"/>
      <c r="C231" s="139"/>
      <c r="D231" s="139" t="s">
        <v>390</v>
      </c>
    </row>
    <row r="232" spans="1:9">
      <c r="A232" s="139" t="s">
        <v>848</v>
      </c>
      <c r="B232" s="139"/>
      <c r="C232" s="139"/>
      <c r="D232" s="139" t="s">
        <v>391</v>
      </c>
    </row>
    <row r="233" spans="1:9">
      <c r="A233" s="139" t="s">
        <v>849</v>
      </c>
      <c r="B233" s="139"/>
      <c r="C233" s="139"/>
      <c r="D233" s="139" t="s">
        <v>392</v>
      </c>
    </row>
    <row r="234" spans="1:9">
      <c r="A234" s="139" t="s">
        <v>850</v>
      </c>
      <c r="B234" s="139">
        <v>-609360.44999999995</v>
      </c>
      <c r="C234" s="139"/>
      <c r="D234" s="139" t="s">
        <v>393</v>
      </c>
    </row>
    <row r="235" spans="1:9">
      <c r="A235" s="139" t="s">
        <v>851</v>
      </c>
      <c r="B235" s="139"/>
      <c r="C235" s="139"/>
      <c r="D235" s="139" t="s">
        <v>394</v>
      </c>
    </row>
    <row r="236" spans="1:9">
      <c r="A236" s="139" t="s">
        <v>852</v>
      </c>
      <c r="B236" s="139"/>
      <c r="C236" s="139"/>
      <c r="D236" s="139" t="s">
        <v>395</v>
      </c>
    </row>
    <row r="237" spans="1:9">
      <c r="A237" s="139" t="s">
        <v>853</v>
      </c>
      <c r="B237" s="139"/>
      <c r="C237" s="139"/>
      <c r="D237" s="139" t="s">
        <v>396</v>
      </c>
    </row>
    <row r="238" spans="1:9">
      <c r="A238" s="139" t="s">
        <v>854</v>
      </c>
      <c r="B238" s="139"/>
      <c r="C238" s="139"/>
      <c r="D238" s="139" t="s">
        <v>397</v>
      </c>
    </row>
    <row r="239" spans="1:9">
      <c r="A239" s="139" t="s">
        <v>855</v>
      </c>
      <c r="B239" s="139"/>
      <c r="C239" s="139"/>
      <c r="D239" s="139" t="s">
        <v>398</v>
      </c>
    </row>
    <row r="240" spans="1:9">
      <c r="A240" s="139" t="s">
        <v>856</v>
      </c>
      <c r="B240" s="139"/>
      <c r="C240" s="139"/>
      <c r="D240" s="139" t="s">
        <v>399</v>
      </c>
    </row>
    <row r="241" spans="1:4">
      <c r="A241" s="139" t="s">
        <v>857</v>
      </c>
      <c r="B241" s="139"/>
      <c r="C241" s="139"/>
      <c r="D241" s="139" t="s">
        <v>400</v>
      </c>
    </row>
    <row r="242" spans="1:4">
      <c r="A242" s="139" t="s">
        <v>858</v>
      </c>
      <c r="B242" s="139">
        <v>-31508.78</v>
      </c>
      <c r="C242" s="139"/>
      <c r="D242" s="139" t="s">
        <v>401</v>
      </c>
    </row>
    <row r="243" spans="1:4">
      <c r="A243" s="139" t="s">
        <v>859</v>
      </c>
      <c r="B243" s="139"/>
      <c r="C243" s="139"/>
      <c r="D243" s="139" t="s">
        <v>402</v>
      </c>
    </row>
    <row r="244" spans="1:4">
      <c r="A244" s="139" t="s">
        <v>860</v>
      </c>
      <c r="B244" s="139">
        <v>-62402.28</v>
      </c>
      <c r="C244" s="139"/>
      <c r="D244" s="139" t="s">
        <v>403</v>
      </c>
    </row>
    <row r="245" spans="1:4">
      <c r="A245" s="139" t="s">
        <v>861</v>
      </c>
      <c r="B245" s="139"/>
      <c r="C245" s="139"/>
      <c r="D245" s="139" t="s">
        <v>404</v>
      </c>
    </row>
    <row r="246" spans="1:4">
      <c r="A246" s="139" t="s">
        <v>862</v>
      </c>
      <c r="B246" s="139">
        <v>-8830.52</v>
      </c>
      <c r="C246" s="139"/>
      <c r="D246" s="139" t="s">
        <v>405</v>
      </c>
    </row>
    <row r="247" spans="1:4">
      <c r="A247" s="139" t="s">
        <v>863</v>
      </c>
      <c r="B247" s="139"/>
      <c r="C247" s="139"/>
      <c r="D247" s="139" t="s">
        <v>406</v>
      </c>
    </row>
    <row r="248" spans="1:4">
      <c r="A248" s="139" t="s">
        <v>864</v>
      </c>
      <c r="B248" s="139">
        <v>12.41</v>
      </c>
      <c r="C248" s="139"/>
      <c r="D248" s="139" t="s">
        <v>407</v>
      </c>
    </row>
    <row r="249" spans="1:4">
      <c r="A249" s="139" t="s">
        <v>865</v>
      </c>
      <c r="B249" s="139"/>
      <c r="C249" s="139"/>
      <c r="D249" s="139" t="s">
        <v>408</v>
      </c>
    </row>
    <row r="250" spans="1:4">
      <c r="A250" s="139" t="s">
        <v>866</v>
      </c>
      <c r="B250" s="139"/>
      <c r="C250" s="139"/>
      <c r="D250" s="139" t="s">
        <v>409</v>
      </c>
    </row>
    <row r="251" spans="1:4">
      <c r="A251" s="139" t="s">
        <v>867</v>
      </c>
      <c r="B251" s="139"/>
      <c r="C251" s="139"/>
      <c r="D251" s="139" t="s">
        <v>410</v>
      </c>
    </row>
    <row r="252" spans="1:4">
      <c r="A252" s="141" t="s">
        <v>868</v>
      </c>
      <c r="B252" s="139"/>
      <c r="C252" s="139"/>
      <c r="D252" s="139" t="s">
        <v>411</v>
      </c>
    </row>
    <row r="253" spans="1:4">
      <c r="A253" s="139" t="s">
        <v>869</v>
      </c>
      <c r="B253" s="139">
        <v>-3050000</v>
      </c>
      <c r="C253" s="139"/>
      <c r="D253" s="139" t="s">
        <v>412</v>
      </c>
    </row>
    <row r="254" spans="1:4">
      <c r="A254" s="140" t="s">
        <v>870</v>
      </c>
      <c r="B254" s="139">
        <v>11.88</v>
      </c>
      <c r="C254" s="139"/>
      <c r="D254" s="139" t="s">
        <v>413</v>
      </c>
    </row>
    <row r="255" spans="1:4">
      <c r="A255" s="139" t="s">
        <v>871</v>
      </c>
      <c r="B255" s="139"/>
      <c r="C255" s="139"/>
      <c r="D255" s="139" t="s">
        <v>414</v>
      </c>
    </row>
    <row r="256" spans="1:4">
      <c r="A256" s="139" t="s">
        <v>872</v>
      </c>
      <c r="B256" s="139"/>
      <c r="C256" s="139"/>
      <c r="D256" s="139" t="s">
        <v>415</v>
      </c>
    </row>
    <row r="257" spans="1:7">
      <c r="A257" s="139" t="s">
        <v>873</v>
      </c>
      <c r="B257" s="139"/>
      <c r="C257" s="139"/>
      <c r="D257" s="139" t="s">
        <v>416</v>
      </c>
    </row>
    <row r="258" spans="1:7">
      <c r="A258" s="422" t="s">
        <v>1301</v>
      </c>
      <c r="B258" s="139"/>
      <c r="C258" s="423"/>
      <c r="D258" s="422" t="s">
        <v>1340</v>
      </c>
      <c r="E258" s="424"/>
      <c r="F258" s="424"/>
      <c r="G258" s="424"/>
    </row>
    <row r="259" spans="1:7">
      <c r="A259" s="139" t="s">
        <v>874</v>
      </c>
      <c r="B259" s="139"/>
      <c r="C259" s="139"/>
      <c r="D259" s="139" t="s">
        <v>417</v>
      </c>
    </row>
    <row r="260" spans="1:7">
      <c r="A260" s="139" t="s">
        <v>875</v>
      </c>
      <c r="B260" s="139">
        <v>-3029205.03</v>
      </c>
      <c r="C260" s="139"/>
      <c r="D260" s="139" t="s">
        <v>418</v>
      </c>
    </row>
    <row r="261" spans="1:7">
      <c r="A261" s="139" t="s">
        <v>876</v>
      </c>
      <c r="B261" s="139"/>
      <c r="C261" s="139"/>
      <c r="D261" s="139" t="s">
        <v>419</v>
      </c>
    </row>
    <row r="262" spans="1:7">
      <c r="A262" s="139" t="s">
        <v>877</v>
      </c>
      <c r="B262" s="139"/>
      <c r="C262" s="139"/>
      <c r="D262" s="139" t="s">
        <v>420</v>
      </c>
    </row>
    <row r="263" spans="1:7">
      <c r="A263" s="139" t="s">
        <v>878</v>
      </c>
      <c r="B263" s="139">
        <v>-348206.61</v>
      </c>
      <c r="C263" s="139"/>
      <c r="D263" s="139" t="s">
        <v>421</v>
      </c>
    </row>
    <row r="264" spans="1:7">
      <c r="A264" s="141" t="s">
        <v>879</v>
      </c>
      <c r="B264" s="139"/>
      <c r="C264" s="139"/>
      <c r="D264" s="139" t="s">
        <v>422</v>
      </c>
    </row>
    <row r="265" spans="1:7">
      <c r="A265" s="139" t="s">
        <v>880</v>
      </c>
      <c r="B265" s="139">
        <v>-136043.43</v>
      </c>
      <c r="C265" s="139"/>
      <c r="D265" s="139" t="s">
        <v>423</v>
      </c>
    </row>
    <row r="266" spans="1:7">
      <c r="A266" s="139" t="s">
        <v>881</v>
      </c>
      <c r="B266" s="139">
        <v>-566780.96</v>
      </c>
      <c r="C266" s="139"/>
      <c r="D266" s="139" t="s">
        <v>424</v>
      </c>
    </row>
    <row r="267" spans="1:7">
      <c r="A267" s="139" t="s">
        <v>882</v>
      </c>
      <c r="B267" s="139">
        <v>-208002.83</v>
      </c>
      <c r="C267" s="139"/>
      <c r="D267" s="139" t="s">
        <v>425</v>
      </c>
    </row>
    <row r="268" spans="1:7">
      <c r="A268" s="139" t="s">
        <v>883</v>
      </c>
      <c r="B268" s="139">
        <v>-1596476.33</v>
      </c>
      <c r="C268" s="139"/>
      <c r="D268" s="139" t="s">
        <v>426</v>
      </c>
    </row>
    <row r="269" spans="1:7">
      <c r="A269" s="139" t="s">
        <v>884</v>
      </c>
      <c r="B269" s="139">
        <v>-74254.86</v>
      </c>
      <c r="C269" s="139"/>
      <c r="D269" s="139" t="s">
        <v>427</v>
      </c>
    </row>
    <row r="270" spans="1:7">
      <c r="A270" s="139" t="s">
        <v>885</v>
      </c>
      <c r="B270" s="139">
        <v>-118138.01</v>
      </c>
      <c r="C270" s="139"/>
      <c r="D270" s="139" t="s">
        <v>428</v>
      </c>
    </row>
    <row r="271" spans="1:7">
      <c r="A271" s="139" t="s">
        <v>886</v>
      </c>
      <c r="B271" s="139">
        <v>-164163.85</v>
      </c>
      <c r="C271" s="139"/>
      <c r="D271" s="139" t="s">
        <v>429</v>
      </c>
    </row>
    <row r="272" spans="1:7">
      <c r="A272" s="139" t="s">
        <v>887</v>
      </c>
      <c r="B272" s="139">
        <v>-3114.85</v>
      </c>
      <c r="C272" s="139"/>
      <c r="D272" s="139" t="s">
        <v>430</v>
      </c>
    </row>
    <row r="273" spans="1:7">
      <c r="A273" s="139" t="s">
        <v>888</v>
      </c>
      <c r="B273" s="139"/>
      <c r="C273" s="139"/>
      <c r="D273" s="139" t="s">
        <v>431</v>
      </c>
    </row>
    <row r="274" spans="1:7">
      <c r="A274" s="412" t="s">
        <v>1230</v>
      </c>
      <c r="B274" s="139"/>
      <c r="C274" s="412"/>
      <c r="D274" s="412" t="s">
        <v>1228</v>
      </c>
      <c r="E274" s="412"/>
      <c r="F274" s="412"/>
      <c r="G274" s="410"/>
    </row>
    <row r="275" spans="1:7">
      <c r="A275" s="139" t="s">
        <v>889</v>
      </c>
      <c r="B275" s="139">
        <v>-16547122.699999999</v>
      </c>
      <c r="C275" s="139"/>
      <c r="D275" s="139" t="s">
        <v>432</v>
      </c>
    </row>
    <row r="276" spans="1:7">
      <c r="A276" s="139" t="s">
        <v>890</v>
      </c>
      <c r="B276" s="139">
        <v>-39801.78</v>
      </c>
      <c r="C276" s="139"/>
      <c r="D276" s="139" t="s">
        <v>433</v>
      </c>
    </row>
    <row r="277" spans="1:7">
      <c r="A277" s="139" t="s">
        <v>891</v>
      </c>
      <c r="B277" s="139">
        <v>-434023.56</v>
      </c>
      <c r="C277" s="139"/>
      <c r="D277" s="139" t="s">
        <v>434</v>
      </c>
    </row>
    <row r="278" spans="1:7">
      <c r="A278" s="139" t="s">
        <v>892</v>
      </c>
      <c r="B278" s="139"/>
      <c r="C278" s="139"/>
      <c r="D278" s="139" t="s">
        <v>435</v>
      </c>
    </row>
    <row r="279" spans="1:7">
      <c r="A279" s="139" t="s">
        <v>893</v>
      </c>
      <c r="B279" s="139">
        <v>2582574.8199999998</v>
      </c>
      <c r="C279" s="139"/>
      <c r="D279" s="139" t="s">
        <v>436</v>
      </c>
    </row>
    <row r="280" spans="1:7">
      <c r="A280" s="139" t="s">
        <v>894</v>
      </c>
      <c r="B280" s="139">
        <v>5600099.6600000001</v>
      </c>
      <c r="C280" s="139"/>
      <c r="D280" s="139" t="s">
        <v>437</v>
      </c>
    </row>
    <row r="281" spans="1:7">
      <c r="A281" s="139" t="s">
        <v>895</v>
      </c>
      <c r="B281" s="139"/>
      <c r="C281" s="139"/>
      <c r="D281" s="139" t="s">
        <v>438</v>
      </c>
    </row>
    <row r="282" spans="1:7">
      <c r="A282" s="139" t="s">
        <v>896</v>
      </c>
      <c r="B282" s="139"/>
      <c r="C282" s="139"/>
      <c r="D282" s="139" t="s">
        <v>439</v>
      </c>
    </row>
    <row r="283" spans="1:7">
      <c r="A283" s="139" t="s">
        <v>897</v>
      </c>
      <c r="B283" s="139">
        <v>-104147.19</v>
      </c>
      <c r="C283" s="139"/>
      <c r="D283" s="139" t="s">
        <v>440</v>
      </c>
    </row>
    <row r="284" spans="1:7">
      <c r="A284" s="139" t="s">
        <v>898</v>
      </c>
      <c r="B284" s="139">
        <v>-1982.79</v>
      </c>
      <c r="C284" s="139"/>
      <c r="D284" s="139" t="s">
        <v>441</v>
      </c>
    </row>
    <row r="285" spans="1:7">
      <c r="A285" s="139" t="s">
        <v>899</v>
      </c>
      <c r="B285" s="139">
        <v>2657216.31</v>
      </c>
      <c r="C285" s="139"/>
      <c r="D285" s="139" t="s">
        <v>442</v>
      </c>
    </row>
    <row r="286" spans="1:7">
      <c r="A286" s="139" t="s">
        <v>900</v>
      </c>
      <c r="B286" s="139">
        <v>732419.41</v>
      </c>
      <c r="C286" s="139"/>
      <c r="D286" s="139" t="s">
        <v>443</v>
      </c>
    </row>
    <row r="287" spans="1:7">
      <c r="A287" s="139" t="s">
        <v>901</v>
      </c>
      <c r="B287" s="139">
        <v>-5742.52</v>
      </c>
      <c r="C287" s="139"/>
      <c r="D287" s="139" t="s">
        <v>444</v>
      </c>
    </row>
    <row r="288" spans="1:7">
      <c r="A288" s="139" t="s">
        <v>902</v>
      </c>
      <c r="B288" s="139">
        <v>4011797.47</v>
      </c>
      <c r="C288" s="139"/>
      <c r="D288" s="139" t="s">
        <v>445</v>
      </c>
    </row>
    <row r="289" spans="1:4">
      <c r="A289" s="139" t="s">
        <v>903</v>
      </c>
      <c r="B289" s="139">
        <v>25473.43</v>
      </c>
      <c r="C289" s="139"/>
      <c r="D289" s="139" t="s">
        <v>446</v>
      </c>
    </row>
    <row r="290" spans="1:4">
      <c r="A290" s="139" t="s">
        <v>904</v>
      </c>
      <c r="B290" s="139">
        <v>2837.74</v>
      </c>
      <c r="C290" s="139"/>
      <c r="D290" s="139" t="s">
        <v>447</v>
      </c>
    </row>
    <row r="291" spans="1:4">
      <c r="A291" s="139" t="s">
        <v>905</v>
      </c>
      <c r="B291" s="139">
        <v>5725.83</v>
      </c>
      <c r="C291" s="139"/>
      <c r="D291" s="139" t="s">
        <v>448</v>
      </c>
    </row>
    <row r="292" spans="1:4">
      <c r="A292" s="139" t="s">
        <v>906</v>
      </c>
      <c r="B292" s="139">
        <v>625626.91</v>
      </c>
      <c r="C292" s="139"/>
      <c r="D292" s="139" t="s">
        <v>449</v>
      </c>
    </row>
    <row r="293" spans="1:4">
      <c r="A293" s="139" t="s">
        <v>907</v>
      </c>
      <c r="B293" s="139">
        <v>-1635.83</v>
      </c>
      <c r="C293" s="139"/>
      <c r="D293" s="139" t="s">
        <v>450</v>
      </c>
    </row>
    <row r="294" spans="1:4">
      <c r="A294" s="139" t="s">
        <v>908</v>
      </c>
      <c r="B294" s="139"/>
      <c r="C294" s="139"/>
      <c r="D294" s="139" t="s">
        <v>451</v>
      </c>
    </row>
    <row r="295" spans="1:4">
      <c r="A295" s="139" t="s">
        <v>909</v>
      </c>
      <c r="B295" s="139"/>
      <c r="C295" s="139"/>
      <c r="D295" s="139" t="s">
        <v>452</v>
      </c>
    </row>
    <row r="296" spans="1:4">
      <c r="A296" s="139" t="s">
        <v>910</v>
      </c>
      <c r="B296" s="139">
        <v>-13585.97</v>
      </c>
      <c r="C296" s="139"/>
      <c r="D296" s="139" t="s">
        <v>453</v>
      </c>
    </row>
    <row r="297" spans="1:4">
      <c r="A297" s="139" t="s">
        <v>911</v>
      </c>
      <c r="B297" s="139"/>
      <c r="C297" s="139"/>
      <c r="D297" s="139" t="s">
        <v>454</v>
      </c>
    </row>
    <row r="298" spans="1:4">
      <c r="A298" s="139" t="s">
        <v>912</v>
      </c>
      <c r="B298" s="139"/>
      <c r="C298" s="139"/>
      <c r="D298" s="139" t="s">
        <v>455</v>
      </c>
    </row>
    <row r="299" spans="1:4">
      <c r="A299" s="139" t="s">
        <v>913</v>
      </c>
      <c r="B299" s="139"/>
      <c r="C299" s="139"/>
      <c r="D299" s="139" t="s">
        <v>456</v>
      </c>
    </row>
    <row r="300" spans="1:4">
      <c r="A300" s="139" t="s">
        <v>914</v>
      </c>
      <c r="B300" s="139"/>
      <c r="C300" s="139"/>
      <c r="D300" s="139" t="s">
        <v>457</v>
      </c>
    </row>
    <row r="301" spans="1:4">
      <c r="A301" s="139" t="s">
        <v>915</v>
      </c>
      <c r="B301" s="139"/>
      <c r="C301" s="139"/>
      <c r="D301" s="139" t="s">
        <v>458</v>
      </c>
    </row>
    <row r="302" spans="1:4">
      <c r="A302" s="139" t="s">
        <v>916</v>
      </c>
      <c r="B302" s="139">
        <v>-3357.49</v>
      </c>
      <c r="C302" s="139"/>
      <c r="D302" s="139" t="s">
        <v>459</v>
      </c>
    </row>
    <row r="303" spans="1:4">
      <c r="A303" s="139" t="s">
        <v>917</v>
      </c>
      <c r="B303" s="415">
        <v>14464.5</v>
      </c>
      <c r="C303" s="139"/>
      <c r="D303" s="139" t="s">
        <v>460</v>
      </c>
    </row>
    <row r="304" spans="1:4">
      <c r="A304" s="139" t="s">
        <v>918</v>
      </c>
      <c r="B304" s="139">
        <v>35004.379999999997</v>
      </c>
      <c r="C304" s="139"/>
      <c r="D304" s="139" t="s">
        <v>461</v>
      </c>
    </row>
    <row r="305" spans="1:8">
      <c r="A305" s="139" t="s">
        <v>919</v>
      </c>
      <c r="B305" s="139"/>
      <c r="C305" s="139"/>
      <c r="D305" s="139" t="s">
        <v>462</v>
      </c>
    </row>
    <row r="306" spans="1:8">
      <c r="A306" s="139" t="s">
        <v>920</v>
      </c>
      <c r="B306" s="139"/>
      <c r="C306" s="139"/>
      <c r="D306" s="139" t="s">
        <v>463</v>
      </c>
    </row>
    <row r="307" spans="1:8">
      <c r="A307" s="139" t="s">
        <v>921</v>
      </c>
      <c r="B307" s="139">
        <v>39685.72</v>
      </c>
      <c r="C307" s="139"/>
      <c r="D307" s="139" t="s">
        <v>464</v>
      </c>
    </row>
    <row r="308" spans="1:8">
      <c r="A308" s="139" t="s">
        <v>922</v>
      </c>
      <c r="B308" s="139"/>
      <c r="C308" s="139"/>
      <c r="D308" s="139" t="s">
        <v>465</v>
      </c>
    </row>
    <row r="309" spans="1:8">
      <c r="A309" s="139" t="s">
        <v>923</v>
      </c>
      <c r="B309" s="139">
        <v>4.66</v>
      </c>
      <c r="C309" s="139"/>
      <c r="D309" s="139" t="s">
        <v>466</v>
      </c>
    </row>
    <row r="310" spans="1:8">
      <c r="A310" s="139" t="s">
        <v>924</v>
      </c>
      <c r="B310" s="139"/>
      <c r="C310" s="139"/>
      <c r="D310" s="139" t="s">
        <v>467</v>
      </c>
    </row>
    <row r="311" spans="1:8">
      <c r="A311" s="139" t="s">
        <v>925</v>
      </c>
      <c r="B311" s="139"/>
      <c r="C311" s="139"/>
      <c r="D311" s="139" t="s">
        <v>468</v>
      </c>
    </row>
    <row r="312" spans="1:8">
      <c r="A312" s="139" t="s">
        <v>926</v>
      </c>
      <c r="B312" s="139">
        <v>209108.54</v>
      </c>
      <c r="C312" s="139"/>
      <c r="D312" s="139" t="s">
        <v>469</v>
      </c>
    </row>
    <row r="313" spans="1:8">
      <c r="A313" s="418" t="s">
        <v>927</v>
      </c>
      <c r="B313" s="139"/>
      <c r="C313" s="418"/>
      <c r="D313" s="418" t="s">
        <v>470</v>
      </c>
      <c r="E313" s="419"/>
      <c r="F313" s="419"/>
      <c r="G313" s="419"/>
      <c r="H313" s="419"/>
    </row>
    <row r="314" spans="1:8">
      <c r="A314" s="141" t="s">
        <v>642</v>
      </c>
      <c r="B314" s="139"/>
      <c r="C314" s="141"/>
      <c r="D314" s="141" t="s">
        <v>329</v>
      </c>
      <c r="E314" s="243"/>
      <c r="F314" s="243"/>
      <c r="G314" s="243"/>
      <c r="H314" s="243"/>
    </row>
    <row r="315" spans="1:8">
      <c r="A315" s="141" t="s">
        <v>643</v>
      </c>
      <c r="B315" s="139"/>
      <c r="C315" s="141"/>
      <c r="D315" s="141" t="s">
        <v>330</v>
      </c>
      <c r="E315" s="243"/>
      <c r="F315" s="243"/>
      <c r="G315" s="243"/>
      <c r="H315" s="243"/>
    </row>
    <row r="316" spans="1:8">
      <c r="A316" s="141" t="s">
        <v>644</v>
      </c>
      <c r="B316" s="139"/>
      <c r="C316" s="141"/>
      <c r="D316" s="141" t="s">
        <v>331</v>
      </c>
      <c r="E316" s="243"/>
      <c r="F316" s="243"/>
      <c r="G316" s="243"/>
      <c r="H316" s="243"/>
    </row>
    <row r="317" spans="1:8">
      <c r="A317" s="141" t="s">
        <v>645</v>
      </c>
      <c r="B317" s="139"/>
      <c r="C317" s="141"/>
      <c r="D317" s="141" t="s">
        <v>332</v>
      </c>
      <c r="E317" s="243"/>
      <c r="F317" s="243"/>
      <c r="G317" s="243"/>
      <c r="H317" s="243"/>
    </row>
    <row r="318" spans="1:8">
      <c r="A318" s="141" t="s">
        <v>646</v>
      </c>
      <c r="B318" s="139"/>
      <c r="C318" s="141"/>
      <c r="D318" s="141" t="s">
        <v>333</v>
      </c>
      <c r="E318" s="243"/>
      <c r="F318" s="243"/>
      <c r="G318" s="243"/>
      <c r="H318" s="243"/>
    </row>
    <row r="319" spans="1:8">
      <c r="A319" s="141" t="s">
        <v>647</v>
      </c>
      <c r="B319" s="139"/>
      <c r="C319" s="141"/>
      <c r="D319" s="141" t="s">
        <v>334</v>
      </c>
      <c r="E319" s="243"/>
      <c r="F319" s="243"/>
      <c r="G319" s="243"/>
      <c r="H319" s="243"/>
    </row>
    <row r="320" spans="1:8">
      <c r="A320" s="414" t="s">
        <v>1312</v>
      </c>
      <c r="B320" s="139"/>
      <c r="C320" s="415"/>
      <c r="D320" s="415" t="s">
        <v>1281</v>
      </c>
      <c r="E320" s="412"/>
      <c r="F320" s="243"/>
      <c r="G320" s="243"/>
      <c r="H320" s="243"/>
    </row>
    <row r="321" spans="1:8">
      <c r="A321" s="141" t="s">
        <v>649</v>
      </c>
      <c r="B321" s="139"/>
      <c r="C321" s="141"/>
      <c r="D321" s="141" t="s">
        <v>336</v>
      </c>
      <c r="E321" s="243"/>
      <c r="F321" s="243"/>
      <c r="G321" s="243"/>
      <c r="H321" s="243"/>
    </row>
    <row r="322" spans="1:8">
      <c r="A322" s="141" t="s">
        <v>650</v>
      </c>
      <c r="B322" s="139"/>
      <c r="C322" s="141"/>
      <c r="D322" s="141" t="s">
        <v>337</v>
      </c>
      <c r="E322" s="243"/>
      <c r="F322" s="243"/>
      <c r="G322" s="243"/>
      <c r="H322" s="243"/>
    </row>
    <row r="323" spans="1:8">
      <c r="A323" s="141" t="s">
        <v>651</v>
      </c>
      <c r="B323" s="139"/>
      <c r="C323" s="141"/>
      <c r="D323" s="141" t="s">
        <v>338</v>
      </c>
      <c r="E323" s="243"/>
      <c r="F323" s="243"/>
      <c r="G323" s="243"/>
      <c r="H323" s="243"/>
    </row>
    <row r="324" spans="1:8">
      <c r="A324" s="141" t="s">
        <v>652</v>
      </c>
      <c r="B324" s="139"/>
      <c r="C324" s="141"/>
      <c r="D324" s="141" t="s">
        <v>339</v>
      </c>
      <c r="E324" s="243"/>
      <c r="F324" s="243"/>
      <c r="G324" s="243"/>
      <c r="H324" s="243"/>
    </row>
    <row r="325" spans="1:8">
      <c r="A325" s="141" t="s">
        <v>653</v>
      </c>
      <c r="B325" s="139"/>
      <c r="C325" s="141"/>
      <c r="D325" s="141" t="s">
        <v>340</v>
      </c>
      <c r="E325" s="243"/>
      <c r="F325" s="243"/>
      <c r="G325" s="243"/>
      <c r="H325" s="243"/>
    </row>
    <row r="326" spans="1:8">
      <c r="A326" s="141" t="s">
        <v>654</v>
      </c>
      <c r="B326" s="139"/>
      <c r="C326" s="141"/>
      <c r="D326" s="141" t="s">
        <v>341</v>
      </c>
      <c r="E326" s="243"/>
      <c r="F326" s="243"/>
      <c r="G326" s="243"/>
      <c r="H326" s="243"/>
    </row>
    <row r="327" spans="1:8">
      <c r="A327" s="141" t="s">
        <v>655</v>
      </c>
      <c r="B327" s="139"/>
      <c r="C327" s="141"/>
      <c r="D327" s="141" t="s">
        <v>342</v>
      </c>
      <c r="E327" s="243"/>
      <c r="F327" s="243"/>
      <c r="G327" s="243"/>
      <c r="H327" s="243"/>
    </row>
    <row r="328" spans="1:8">
      <c r="A328" s="141" t="s">
        <v>656</v>
      </c>
      <c r="B328" s="139"/>
      <c r="C328" s="141"/>
      <c r="D328" s="141" t="s">
        <v>343</v>
      </c>
      <c r="E328" s="243"/>
      <c r="F328" s="243"/>
      <c r="G328" s="243"/>
      <c r="H328" s="243"/>
    </row>
    <row r="329" spans="1:8">
      <c r="A329" s="141" t="s">
        <v>657</v>
      </c>
      <c r="B329" s="139"/>
      <c r="C329" s="141"/>
      <c r="D329" s="141" t="s">
        <v>344</v>
      </c>
      <c r="E329" s="243"/>
      <c r="F329" s="243"/>
      <c r="G329" s="243"/>
      <c r="H329" s="243"/>
    </row>
    <row r="330" spans="1:8">
      <c r="A330" s="141" t="s">
        <v>658</v>
      </c>
      <c r="B330" s="139"/>
      <c r="C330" s="141"/>
      <c r="D330" s="141" t="s">
        <v>345</v>
      </c>
      <c r="E330" s="243"/>
      <c r="F330" s="243"/>
      <c r="G330" s="243"/>
      <c r="H330" s="243"/>
    </row>
    <row r="331" spans="1:8">
      <c r="A331" s="141" t="s">
        <v>659</v>
      </c>
      <c r="B331" s="139"/>
      <c r="C331" s="141"/>
      <c r="D331" s="141" t="s">
        <v>346</v>
      </c>
      <c r="E331" s="243"/>
      <c r="F331" s="243"/>
      <c r="G331" s="243"/>
      <c r="H331" s="243"/>
    </row>
    <row r="332" spans="1:8">
      <c r="A332" s="141" t="s">
        <v>660</v>
      </c>
      <c r="B332" s="139"/>
      <c r="C332" s="141"/>
      <c r="D332" s="141" t="s">
        <v>347</v>
      </c>
      <c r="E332" s="243"/>
      <c r="F332" s="243"/>
      <c r="G332" s="243"/>
      <c r="H332" s="243"/>
    </row>
    <row r="333" spans="1:8">
      <c r="A333" s="141" t="s">
        <v>661</v>
      </c>
      <c r="B333" s="139"/>
      <c r="C333" s="141"/>
      <c r="D333" s="141" t="s">
        <v>348</v>
      </c>
      <c r="E333" s="243"/>
      <c r="F333" s="243"/>
      <c r="G333" s="243"/>
      <c r="H333" s="243"/>
    </row>
    <row r="334" spans="1:8">
      <c r="A334" s="141" t="s">
        <v>662</v>
      </c>
      <c r="B334" s="139"/>
      <c r="C334" s="141"/>
      <c r="D334" s="141" t="s">
        <v>349</v>
      </c>
      <c r="E334" s="243"/>
      <c r="F334" s="243"/>
      <c r="G334" s="243"/>
      <c r="H334" s="243"/>
    </row>
    <row r="335" spans="1:8">
      <c r="A335" s="141" t="s">
        <v>663</v>
      </c>
      <c r="B335" s="139"/>
      <c r="C335" s="141"/>
      <c r="D335" s="141" t="s">
        <v>350</v>
      </c>
      <c r="E335" s="243"/>
      <c r="F335" s="243"/>
      <c r="G335" s="243"/>
      <c r="H335" s="243"/>
    </row>
    <row r="336" spans="1:8">
      <c r="A336" s="141" t="s">
        <v>664</v>
      </c>
      <c r="B336" s="139"/>
      <c r="C336" s="141"/>
      <c r="D336" s="141" t="s">
        <v>351</v>
      </c>
      <c r="E336" s="243"/>
      <c r="F336" s="243"/>
      <c r="G336" s="243"/>
      <c r="H336" s="243"/>
    </row>
    <row r="337" spans="1:8">
      <c r="A337" s="141" t="s">
        <v>665</v>
      </c>
      <c r="B337" s="139"/>
      <c r="C337" s="141"/>
      <c r="D337" s="141" t="s">
        <v>352</v>
      </c>
      <c r="E337" s="243"/>
      <c r="F337" s="243"/>
      <c r="G337" s="243"/>
      <c r="H337" s="243"/>
    </row>
    <row r="338" spans="1:8">
      <c r="A338" s="141" t="s">
        <v>666</v>
      </c>
      <c r="B338" s="139"/>
      <c r="C338" s="141"/>
      <c r="D338" s="141" t="s">
        <v>353</v>
      </c>
      <c r="E338" s="243"/>
      <c r="F338" s="243"/>
      <c r="G338" s="243"/>
      <c r="H338" s="243"/>
    </row>
    <row r="339" spans="1:8">
      <c r="A339" s="141" t="s">
        <v>667</v>
      </c>
      <c r="B339" s="139"/>
      <c r="C339" s="141"/>
      <c r="D339" s="141" t="s">
        <v>354</v>
      </c>
      <c r="E339" s="243"/>
      <c r="F339" s="243"/>
      <c r="G339" s="243"/>
      <c r="H339" s="243"/>
    </row>
    <row r="340" spans="1:8">
      <c r="A340" s="141" t="s">
        <v>668</v>
      </c>
      <c r="B340" s="139"/>
      <c r="C340" s="141"/>
      <c r="D340" s="141" t="s">
        <v>355</v>
      </c>
      <c r="E340" s="243"/>
      <c r="F340" s="243"/>
      <c r="G340" s="243"/>
      <c r="H340" s="243"/>
    </row>
    <row r="341" spans="1:8">
      <c r="A341" s="141" t="s">
        <v>669</v>
      </c>
      <c r="B341" s="139"/>
      <c r="C341" s="141"/>
      <c r="D341" s="141" t="s">
        <v>356</v>
      </c>
      <c r="E341" s="243"/>
      <c r="F341" s="243"/>
      <c r="G341" s="243"/>
      <c r="H341" s="243"/>
    </row>
    <row r="342" spans="1:8">
      <c r="A342" s="141" t="s">
        <v>670</v>
      </c>
      <c r="B342" s="139"/>
      <c r="C342" s="141"/>
      <c r="D342" s="141" t="s">
        <v>357</v>
      </c>
      <c r="E342" s="243"/>
      <c r="F342" s="243"/>
      <c r="G342" s="243"/>
      <c r="H342" s="243"/>
    </row>
    <row r="343" spans="1:8">
      <c r="A343" s="141" t="s">
        <v>671</v>
      </c>
      <c r="B343" s="139"/>
      <c r="C343" s="141"/>
      <c r="D343" s="141" t="s">
        <v>358</v>
      </c>
      <c r="E343" s="243"/>
      <c r="F343" s="243"/>
      <c r="G343" s="243"/>
      <c r="H343" s="243"/>
    </row>
    <row r="344" spans="1:8">
      <c r="A344" s="141" t="s">
        <v>672</v>
      </c>
      <c r="B344" s="139"/>
      <c r="C344" s="141"/>
      <c r="D344" s="141" t="s">
        <v>359</v>
      </c>
      <c r="E344" s="243"/>
      <c r="F344" s="243"/>
      <c r="G344" s="243"/>
      <c r="H344" s="243"/>
    </row>
    <row r="345" spans="1:8">
      <c r="A345" s="141" t="s">
        <v>673</v>
      </c>
      <c r="B345" s="139"/>
      <c r="C345" s="141"/>
      <c r="D345" s="141" t="s">
        <v>360</v>
      </c>
      <c r="E345" s="243"/>
      <c r="F345" s="243"/>
      <c r="G345" s="243"/>
      <c r="H345" s="243"/>
    </row>
    <row r="346" spans="1:8">
      <c r="A346" s="141" t="s">
        <v>674</v>
      </c>
      <c r="B346" s="139"/>
      <c r="C346" s="141"/>
      <c r="D346" s="141" t="s">
        <v>361</v>
      </c>
      <c r="E346" s="243"/>
      <c r="F346" s="243"/>
      <c r="G346" s="243"/>
      <c r="H346" s="243"/>
    </row>
    <row r="347" spans="1:8">
      <c r="A347" s="141" t="s">
        <v>675</v>
      </c>
      <c r="B347" s="139"/>
      <c r="C347" s="141"/>
      <c r="D347" s="141" t="s">
        <v>362</v>
      </c>
      <c r="E347" s="243"/>
      <c r="F347" s="243"/>
      <c r="G347" s="243"/>
      <c r="H347" s="243"/>
    </row>
    <row r="348" spans="1:8">
      <c r="A348" s="141" t="s">
        <v>676</v>
      </c>
      <c r="B348" s="139"/>
      <c r="C348" s="141"/>
      <c r="D348" s="141" t="s">
        <v>363</v>
      </c>
      <c r="E348" s="243"/>
      <c r="F348" s="243"/>
      <c r="G348" s="243"/>
      <c r="H348" s="243"/>
    </row>
    <row r="349" spans="1:8">
      <c r="A349" s="141" t="s">
        <v>677</v>
      </c>
      <c r="B349" s="139"/>
      <c r="C349" s="141"/>
      <c r="D349" s="141" t="s">
        <v>364</v>
      </c>
      <c r="E349" s="243"/>
      <c r="F349" s="243"/>
      <c r="G349" s="243"/>
      <c r="H349" s="243"/>
    </row>
    <row r="350" spans="1:8">
      <c r="A350" s="141" t="s">
        <v>678</v>
      </c>
      <c r="B350" s="139"/>
      <c r="C350" s="141"/>
      <c r="D350" s="141" t="s">
        <v>365</v>
      </c>
      <c r="E350" s="243"/>
      <c r="F350" s="243"/>
      <c r="G350" s="243"/>
      <c r="H350" s="243"/>
    </row>
    <row r="351" spans="1:8">
      <c r="A351" s="141" t="s">
        <v>679</v>
      </c>
      <c r="B351" s="139"/>
      <c r="C351" s="141"/>
      <c r="D351" s="141" t="s">
        <v>366</v>
      </c>
      <c r="E351" s="243"/>
      <c r="F351" s="243"/>
      <c r="G351" s="243"/>
      <c r="H351" s="243"/>
    </row>
    <row r="352" spans="1:8">
      <c r="A352" s="141" t="s">
        <v>680</v>
      </c>
      <c r="B352" s="139"/>
      <c r="C352" s="141"/>
      <c r="D352" s="141" t="s">
        <v>367</v>
      </c>
      <c r="E352" s="243"/>
      <c r="F352" s="243"/>
      <c r="G352" s="243"/>
      <c r="H352" s="243"/>
    </row>
    <row r="353" spans="1:8">
      <c r="A353" s="141" t="s">
        <v>681</v>
      </c>
      <c r="B353" s="139"/>
      <c r="C353" s="141"/>
      <c r="D353" s="141" t="s">
        <v>368</v>
      </c>
      <c r="E353" s="243"/>
      <c r="F353" s="243"/>
      <c r="G353" s="243"/>
      <c r="H353" s="243"/>
    </row>
    <row r="354" spans="1:8">
      <c r="A354" s="141" t="s">
        <v>682</v>
      </c>
      <c r="B354" s="139"/>
      <c r="C354" s="141"/>
      <c r="D354" s="141" t="s">
        <v>369</v>
      </c>
      <c r="E354" s="243"/>
      <c r="F354" s="243"/>
      <c r="G354" s="243"/>
      <c r="H354" s="243"/>
    </row>
    <row r="355" spans="1:8">
      <c r="A355" s="141" t="s">
        <v>683</v>
      </c>
      <c r="B355" s="139"/>
      <c r="C355" s="141"/>
      <c r="D355" s="141" t="s">
        <v>370</v>
      </c>
      <c r="E355" s="243"/>
      <c r="F355" s="243"/>
      <c r="G355" s="243"/>
      <c r="H355" s="243"/>
    </row>
    <row r="356" spans="1:8">
      <c r="A356" s="141" t="s">
        <v>684</v>
      </c>
      <c r="B356" s="139"/>
      <c r="C356" s="141"/>
      <c r="D356" s="141" t="s">
        <v>371</v>
      </c>
      <c r="E356" s="243"/>
      <c r="F356" s="243"/>
      <c r="G356" s="243"/>
      <c r="H356" s="243"/>
    </row>
    <row r="357" spans="1:8">
      <c r="A357" s="141" t="s">
        <v>685</v>
      </c>
      <c r="B357" s="139"/>
      <c r="C357" s="141"/>
      <c r="D357" s="141" t="s">
        <v>372</v>
      </c>
      <c r="E357" s="243"/>
      <c r="F357" s="243"/>
      <c r="G357" s="243"/>
      <c r="H357" s="243"/>
    </row>
    <row r="358" spans="1:8">
      <c r="A358" s="141" t="s">
        <v>686</v>
      </c>
      <c r="B358" s="139"/>
      <c r="C358" s="141"/>
      <c r="D358" s="141" t="s">
        <v>373</v>
      </c>
      <c r="E358" s="243"/>
      <c r="F358" s="243"/>
      <c r="G358" s="243"/>
      <c r="H358" s="243"/>
    </row>
    <row r="359" spans="1:8">
      <c r="A359" s="141" t="s">
        <v>687</v>
      </c>
      <c r="B359" s="139"/>
      <c r="C359" s="141"/>
      <c r="D359" s="141" t="s">
        <v>374</v>
      </c>
      <c r="E359" s="243"/>
      <c r="F359" s="243"/>
      <c r="G359" s="243"/>
      <c r="H359" s="243"/>
    </row>
    <row r="360" spans="1:8">
      <c r="A360" s="141" t="s">
        <v>688</v>
      </c>
      <c r="B360" s="139"/>
      <c r="C360" s="141"/>
      <c r="D360" s="141" t="s">
        <v>375</v>
      </c>
      <c r="E360" s="243"/>
      <c r="F360" s="243"/>
      <c r="G360" s="243"/>
      <c r="H360" s="243"/>
    </row>
    <row r="361" spans="1:8">
      <c r="A361" s="141" t="s">
        <v>689</v>
      </c>
      <c r="B361" s="139"/>
      <c r="C361" s="141"/>
      <c r="D361" s="141" t="s">
        <v>376</v>
      </c>
      <c r="E361" s="243"/>
      <c r="F361" s="243"/>
      <c r="G361" s="243"/>
      <c r="H361" s="243"/>
    </row>
    <row r="362" spans="1:8">
      <c r="A362" s="141" t="s">
        <v>690</v>
      </c>
      <c r="B362" s="139"/>
      <c r="C362" s="141"/>
      <c r="D362" s="141" t="s">
        <v>377</v>
      </c>
      <c r="E362" s="243"/>
      <c r="F362" s="243"/>
      <c r="G362" s="243"/>
      <c r="H362" s="243"/>
    </row>
    <row r="363" spans="1:8">
      <c r="A363" s="141" t="s">
        <v>691</v>
      </c>
      <c r="B363" s="139"/>
      <c r="C363" s="141"/>
      <c r="D363" s="141" t="s">
        <v>378</v>
      </c>
      <c r="E363" s="243"/>
      <c r="F363" s="243"/>
      <c r="G363" s="243"/>
      <c r="H363" s="243"/>
    </row>
    <row r="364" spans="1:8">
      <c r="A364" s="141" t="s">
        <v>692</v>
      </c>
      <c r="B364" s="139"/>
      <c r="C364" s="141"/>
      <c r="D364" s="141" t="s">
        <v>379</v>
      </c>
      <c r="E364" s="243"/>
      <c r="F364" s="243"/>
      <c r="G364" s="243"/>
      <c r="H364" s="243"/>
    </row>
    <row r="365" spans="1:8">
      <c r="A365" s="141" t="s">
        <v>693</v>
      </c>
      <c r="B365" s="139"/>
      <c r="C365" s="141"/>
      <c r="D365" s="141" t="s">
        <v>380</v>
      </c>
      <c r="E365" s="243"/>
      <c r="F365" s="243"/>
      <c r="G365" s="243"/>
      <c r="H365" s="243"/>
    </row>
    <row r="366" spans="1:8">
      <c r="A366" s="141" t="s">
        <v>694</v>
      </c>
      <c r="B366" s="139"/>
      <c r="C366" s="141"/>
      <c r="D366" s="141" t="s">
        <v>381</v>
      </c>
      <c r="E366" s="243"/>
      <c r="F366" s="243"/>
      <c r="G366" s="243"/>
      <c r="H366" s="243"/>
    </row>
    <row r="367" spans="1:8">
      <c r="A367" s="141" t="s">
        <v>695</v>
      </c>
      <c r="B367" s="139"/>
      <c r="C367" s="141"/>
      <c r="D367" s="141" t="s">
        <v>382</v>
      </c>
      <c r="E367" s="243"/>
      <c r="F367" s="243"/>
      <c r="G367" s="243"/>
      <c r="H367" s="243"/>
    </row>
    <row r="368" spans="1:8">
      <c r="A368" s="141" t="s">
        <v>696</v>
      </c>
      <c r="B368" s="139"/>
      <c r="C368" s="141"/>
      <c r="D368" s="141" t="s">
        <v>383</v>
      </c>
      <c r="E368" s="243"/>
      <c r="F368" s="243"/>
      <c r="G368" s="243"/>
      <c r="H368" s="243"/>
    </row>
    <row r="369" spans="1:9">
      <c r="A369" s="141" t="s">
        <v>697</v>
      </c>
      <c r="B369" s="139"/>
      <c r="C369" s="141"/>
      <c r="D369" s="141" t="s">
        <v>384</v>
      </c>
      <c r="E369" s="243"/>
      <c r="F369" s="243"/>
      <c r="G369" s="243"/>
      <c r="H369" s="243"/>
    </row>
    <row r="370" spans="1:9">
      <c r="A370" s="141" t="s">
        <v>698</v>
      </c>
      <c r="B370" s="139"/>
      <c r="C370" s="141"/>
      <c r="D370" s="141" t="s">
        <v>385</v>
      </c>
      <c r="E370" s="243"/>
      <c r="F370" s="243"/>
      <c r="G370" s="243"/>
      <c r="H370" s="243"/>
    </row>
    <row r="371" spans="1:9">
      <c r="A371" s="141" t="s">
        <v>699</v>
      </c>
      <c r="B371" s="139"/>
      <c r="C371" s="141"/>
      <c r="D371" s="141" t="s">
        <v>386</v>
      </c>
      <c r="E371" s="243"/>
      <c r="F371" s="243"/>
      <c r="G371" s="243"/>
      <c r="H371" s="243"/>
    </row>
    <row r="372" spans="1:9">
      <c r="A372" s="141" t="s">
        <v>700</v>
      </c>
      <c r="B372" s="139"/>
      <c r="C372" s="141"/>
      <c r="D372" s="141" t="s">
        <v>387</v>
      </c>
      <c r="E372" s="243"/>
      <c r="F372" s="243"/>
      <c r="G372" s="243"/>
      <c r="H372" s="243"/>
    </row>
    <row r="373" spans="1:9">
      <c r="A373" s="141" t="s">
        <v>701</v>
      </c>
      <c r="B373" s="139"/>
      <c r="C373" s="141"/>
      <c r="D373" s="141" t="s">
        <v>388</v>
      </c>
      <c r="E373" s="243"/>
      <c r="F373" s="243"/>
      <c r="G373" s="243"/>
      <c r="H373" s="243"/>
    </row>
    <row r="374" spans="1:9" s="410" customFormat="1">
      <c r="A374" s="414" t="s">
        <v>1313</v>
      </c>
      <c r="B374" s="139"/>
      <c r="C374" s="415"/>
      <c r="D374" s="415" t="s">
        <v>1284</v>
      </c>
      <c r="E374" s="412"/>
      <c r="F374" s="412"/>
      <c r="G374" s="412"/>
      <c r="H374" s="412"/>
      <c r="I374" s="412"/>
    </row>
    <row r="375" spans="1:9" s="410" customFormat="1">
      <c r="A375" s="414" t="s">
        <v>1347</v>
      </c>
      <c r="B375" s="139"/>
      <c r="C375" s="415"/>
      <c r="D375" s="415" t="s">
        <v>1341</v>
      </c>
      <c r="E375" s="412"/>
      <c r="F375" s="412"/>
      <c r="G375" s="412"/>
      <c r="H375" s="412"/>
      <c r="I375" s="412"/>
    </row>
    <row r="376" spans="1:9" s="410" customFormat="1">
      <c r="A376" s="414" t="s">
        <v>1348</v>
      </c>
      <c r="B376" s="139"/>
      <c r="C376" s="415"/>
      <c r="D376" s="415" t="s">
        <v>1342</v>
      </c>
      <c r="E376" s="412"/>
      <c r="F376" s="412"/>
      <c r="G376" s="412"/>
      <c r="H376" s="412"/>
      <c r="I376" s="412"/>
    </row>
    <row r="377" spans="1:9">
      <c r="A377" s="141" t="s">
        <v>702</v>
      </c>
      <c r="B377" s="139"/>
      <c r="C377" s="141"/>
      <c r="D377" s="141" t="s">
        <v>389</v>
      </c>
      <c r="E377" s="243"/>
      <c r="F377" s="243"/>
      <c r="G377" s="243"/>
      <c r="H377" s="243"/>
    </row>
    <row r="378" spans="1:9">
      <c r="A378" s="141" t="s">
        <v>703</v>
      </c>
      <c r="B378" s="139"/>
      <c r="C378" s="141"/>
      <c r="D378" s="141" t="s">
        <v>390</v>
      </c>
      <c r="E378" s="243"/>
      <c r="F378" s="243"/>
      <c r="G378" s="243"/>
      <c r="H378" s="243"/>
    </row>
    <row r="379" spans="1:9">
      <c r="A379" s="141" t="s">
        <v>704</v>
      </c>
      <c r="B379" s="139"/>
      <c r="C379" s="141"/>
      <c r="D379" s="141" t="s">
        <v>391</v>
      </c>
      <c r="E379" s="243"/>
      <c r="F379" s="243"/>
      <c r="G379" s="243"/>
      <c r="H379" s="243"/>
    </row>
    <row r="380" spans="1:9">
      <c r="A380" s="141" t="s">
        <v>705</v>
      </c>
      <c r="B380" s="139"/>
      <c r="C380" s="141"/>
      <c r="D380" s="141" t="s">
        <v>392</v>
      </c>
      <c r="E380" s="243"/>
      <c r="F380" s="243"/>
      <c r="G380" s="243"/>
      <c r="H380" s="243"/>
    </row>
    <row r="381" spans="1:9">
      <c r="A381" s="141" t="s">
        <v>706</v>
      </c>
      <c r="B381" s="139"/>
      <c r="C381" s="141"/>
      <c r="D381" s="141" t="s">
        <v>393</v>
      </c>
      <c r="E381" s="243"/>
      <c r="F381" s="243"/>
      <c r="G381" s="243"/>
      <c r="H381" s="243"/>
    </row>
    <row r="382" spans="1:9">
      <c r="A382" s="141" t="s">
        <v>707</v>
      </c>
      <c r="B382" s="139"/>
      <c r="C382" s="141"/>
      <c r="D382" s="141" t="s">
        <v>394</v>
      </c>
      <c r="E382" s="243"/>
      <c r="F382" s="243"/>
      <c r="G382" s="243"/>
      <c r="H382" s="243"/>
    </row>
    <row r="383" spans="1:9">
      <c r="A383" s="141" t="s">
        <v>708</v>
      </c>
      <c r="B383" s="139"/>
      <c r="C383" s="141"/>
      <c r="D383" s="141" t="s">
        <v>395</v>
      </c>
      <c r="E383" s="243"/>
      <c r="F383" s="243"/>
      <c r="G383" s="243"/>
      <c r="H383" s="243"/>
    </row>
    <row r="384" spans="1:9">
      <c r="A384" s="141" t="s">
        <v>709</v>
      </c>
      <c r="B384" s="139"/>
      <c r="C384" s="141"/>
      <c r="D384" s="141" t="s">
        <v>396</v>
      </c>
      <c r="E384" s="243"/>
      <c r="F384" s="243"/>
      <c r="G384" s="243"/>
      <c r="H384" s="243"/>
    </row>
    <row r="385" spans="1:8">
      <c r="A385" s="141" t="s">
        <v>710</v>
      </c>
      <c r="B385" s="139"/>
      <c r="C385" s="141"/>
      <c r="D385" s="141" t="s">
        <v>397</v>
      </c>
      <c r="E385" s="243"/>
      <c r="F385" s="243"/>
      <c r="G385" s="243"/>
      <c r="H385" s="243"/>
    </row>
    <row r="386" spans="1:8">
      <c r="A386" s="141" t="s">
        <v>711</v>
      </c>
      <c r="B386" s="139"/>
      <c r="C386" s="141"/>
      <c r="D386" s="141" t="s">
        <v>398</v>
      </c>
      <c r="E386" s="243"/>
      <c r="F386" s="243"/>
      <c r="G386" s="243"/>
      <c r="H386" s="243"/>
    </row>
    <row r="387" spans="1:8">
      <c r="A387" s="141" t="s">
        <v>712</v>
      </c>
      <c r="B387" s="139"/>
      <c r="C387" s="141"/>
      <c r="D387" s="141" t="s">
        <v>399</v>
      </c>
      <c r="E387" s="243"/>
      <c r="F387" s="243"/>
      <c r="G387" s="243"/>
      <c r="H387" s="243"/>
    </row>
    <row r="388" spans="1:8">
      <c r="A388" s="141" t="s">
        <v>713</v>
      </c>
      <c r="B388" s="139"/>
      <c r="C388" s="141"/>
      <c r="D388" s="141" t="s">
        <v>400</v>
      </c>
      <c r="E388" s="243"/>
      <c r="F388" s="243"/>
      <c r="G388" s="243"/>
      <c r="H388" s="243"/>
    </row>
    <row r="389" spans="1:8">
      <c r="A389" s="141" t="s">
        <v>714</v>
      </c>
      <c r="B389" s="139"/>
      <c r="C389" s="141"/>
      <c r="D389" s="141" t="s">
        <v>401</v>
      </c>
      <c r="E389" s="243"/>
      <c r="F389" s="243"/>
      <c r="G389" s="243"/>
      <c r="H389" s="243"/>
    </row>
    <row r="390" spans="1:8">
      <c r="A390" s="141" t="s">
        <v>715</v>
      </c>
      <c r="B390" s="139"/>
      <c r="C390" s="141"/>
      <c r="D390" s="141" t="s">
        <v>402</v>
      </c>
      <c r="E390" s="243"/>
      <c r="F390" s="243"/>
      <c r="G390" s="243"/>
      <c r="H390" s="243"/>
    </row>
    <row r="391" spans="1:8">
      <c r="A391" s="141" t="s">
        <v>716</v>
      </c>
      <c r="B391" s="139"/>
      <c r="C391" s="141"/>
      <c r="D391" s="141" t="s">
        <v>403</v>
      </c>
      <c r="E391" s="243"/>
      <c r="F391" s="243"/>
      <c r="G391" s="243"/>
      <c r="H391" s="243"/>
    </row>
    <row r="392" spans="1:8">
      <c r="A392" s="141" t="s">
        <v>717</v>
      </c>
      <c r="B392" s="139"/>
      <c r="C392" s="141"/>
      <c r="D392" s="141" t="s">
        <v>404</v>
      </c>
      <c r="E392" s="243"/>
      <c r="F392" s="243"/>
      <c r="G392" s="243"/>
      <c r="H392" s="243"/>
    </row>
    <row r="393" spans="1:8">
      <c r="A393" s="141" t="s">
        <v>718</v>
      </c>
      <c r="B393" s="139"/>
      <c r="C393" s="141"/>
      <c r="D393" s="141" t="s">
        <v>405</v>
      </c>
      <c r="E393" s="243"/>
      <c r="F393" s="243"/>
      <c r="G393" s="243"/>
      <c r="H393" s="243"/>
    </row>
    <row r="394" spans="1:8">
      <c r="A394" s="141" t="s">
        <v>719</v>
      </c>
      <c r="B394" s="139"/>
      <c r="C394" s="141"/>
      <c r="D394" s="141" t="s">
        <v>406</v>
      </c>
      <c r="E394" s="243"/>
      <c r="F394" s="243"/>
      <c r="G394" s="243"/>
      <c r="H394" s="243"/>
    </row>
    <row r="395" spans="1:8">
      <c r="A395" s="141" t="s">
        <v>720</v>
      </c>
      <c r="B395" s="139"/>
      <c r="C395" s="141"/>
      <c r="D395" s="141" t="s">
        <v>407</v>
      </c>
      <c r="E395" s="243"/>
      <c r="F395" s="243"/>
      <c r="G395" s="243"/>
      <c r="H395" s="243"/>
    </row>
    <row r="396" spans="1:8">
      <c r="A396" s="141" t="s">
        <v>721</v>
      </c>
      <c r="B396" s="139"/>
      <c r="C396" s="141"/>
      <c r="D396" s="141" t="s">
        <v>408</v>
      </c>
      <c r="E396" s="243"/>
      <c r="F396" s="243"/>
      <c r="G396" s="243"/>
      <c r="H396" s="243"/>
    </row>
    <row r="397" spans="1:8">
      <c r="A397" s="141" t="s">
        <v>722</v>
      </c>
      <c r="B397" s="139"/>
      <c r="C397" s="141"/>
      <c r="D397" s="141" t="s">
        <v>409</v>
      </c>
      <c r="E397" s="243"/>
      <c r="F397" s="243"/>
      <c r="G397" s="243"/>
      <c r="H397" s="243"/>
    </row>
    <row r="398" spans="1:8">
      <c r="A398" s="141" t="s">
        <v>723</v>
      </c>
      <c r="B398" s="139"/>
      <c r="C398" s="141"/>
      <c r="D398" s="141" t="s">
        <v>410</v>
      </c>
      <c r="E398" s="243"/>
      <c r="F398" s="243"/>
      <c r="G398" s="243"/>
      <c r="H398" s="243"/>
    </row>
    <row r="399" spans="1:8">
      <c r="A399" s="141" t="s">
        <v>724</v>
      </c>
      <c r="B399" s="139"/>
      <c r="C399" s="141"/>
      <c r="D399" s="141" t="s">
        <v>411</v>
      </c>
      <c r="E399" s="243"/>
      <c r="F399" s="243"/>
      <c r="G399" s="243"/>
      <c r="H399" s="243"/>
    </row>
    <row r="400" spans="1:8">
      <c r="A400" s="141" t="s">
        <v>725</v>
      </c>
      <c r="B400" s="139"/>
      <c r="C400" s="141"/>
      <c r="D400" s="141" t="s">
        <v>412</v>
      </c>
      <c r="E400" s="243"/>
      <c r="F400" s="243"/>
      <c r="G400" s="243"/>
      <c r="H400" s="243"/>
    </row>
    <row r="401" spans="1:8">
      <c r="A401" s="244" t="s">
        <v>726</v>
      </c>
      <c r="B401" s="139"/>
      <c r="C401" s="141"/>
      <c r="D401" s="141" t="s">
        <v>413</v>
      </c>
      <c r="E401" s="243"/>
      <c r="F401" s="243"/>
      <c r="G401" s="243"/>
      <c r="H401" s="243"/>
    </row>
    <row r="402" spans="1:8">
      <c r="A402" s="141" t="s">
        <v>727</v>
      </c>
      <c r="B402" s="139"/>
      <c r="C402" s="141"/>
      <c r="D402" s="141" t="s">
        <v>414</v>
      </c>
      <c r="E402" s="243"/>
      <c r="F402" s="243"/>
      <c r="G402" s="243"/>
      <c r="H402" s="243"/>
    </row>
    <row r="403" spans="1:8">
      <c r="A403" s="141" t="s">
        <v>728</v>
      </c>
      <c r="B403" s="139"/>
      <c r="C403" s="141"/>
      <c r="D403" s="141" t="s">
        <v>415</v>
      </c>
      <c r="E403" s="243"/>
      <c r="F403" s="243"/>
      <c r="G403" s="243"/>
      <c r="H403" s="243"/>
    </row>
    <row r="404" spans="1:8">
      <c r="A404" s="141" t="s">
        <v>729</v>
      </c>
      <c r="B404" s="139"/>
      <c r="C404" s="141"/>
      <c r="D404" s="141" t="s">
        <v>416</v>
      </c>
      <c r="E404" s="243"/>
      <c r="F404" s="243"/>
      <c r="G404" s="243"/>
      <c r="H404" s="243"/>
    </row>
    <row r="405" spans="1:8">
      <c r="A405" s="422" t="s">
        <v>1302</v>
      </c>
      <c r="B405" s="139"/>
      <c r="C405" s="423"/>
      <c r="D405" s="422" t="s">
        <v>1340</v>
      </c>
      <c r="E405" s="424"/>
      <c r="F405" s="424"/>
      <c r="G405" s="243"/>
      <c r="H405" s="243"/>
    </row>
    <row r="406" spans="1:8">
      <c r="A406" s="141" t="s">
        <v>730</v>
      </c>
      <c r="B406" s="139"/>
      <c r="C406" s="141"/>
      <c r="D406" s="141" t="s">
        <v>417</v>
      </c>
      <c r="E406" s="243"/>
      <c r="F406" s="243"/>
      <c r="G406" s="243"/>
      <c r="H406" s="243"/>
    </row>
    <row r="407" spans="1:8">
      <c r="A407" s="141" t="s">
        <v>731</v>
      </c>
      <c r="B407" s="139"/>
      <c r="C407" s="141"/>
      <c r="D407" s="141" t="s">
        <v>418</v>
      </c>
      <c r="E407" s="243"/>
      <c r="F407" s="243"/>
      <c r="G407" s="243"/>
      <c r="H407" s="243"/>
    </row>
    <row r="408" spans="1:8">
      <c r="A408" s="141" t="s">
        <v>732</v>
      </c>
      <c r="B408" s="139"/>
      <c r="C408" s="141"/>
      <c r="D408" s="141" t="s">
        <v>419</v>
      </c>
      <c r="E408" s="243"/>
      <c r="F408" s="243"/>
      <c r="G408" s="243"/>
      <c r="H408" s="243"/>
    </row>
    <row r="409" spans="1:8">
      <c r="A409" s="141" t="s">
        <v>733</v>
      </c>
      <c r="B409" s="139"/>
      <c r="C409" s="141"/>
      <c r="D409" s="141" t="s">
        <v>420</v>
      </c>
      <c r="E409" s="243"/>
      <c r="F409" s="243"/>
      <c r="G409" s="243"/>
      <c r="H409" s="243"/>
    </row>
    <row r="410" spans="1:8">
      <c r="A410" s="141" t="s">
        <v>734</v>
      </c>
      <c r="B410" s="139"/>
      <c r="C410" s="141"/>
      <c r="D410" s="141" t="s">
        <v>421</v>
      </c>
      <c r="E410" s="243"/>
      <c r="F410" s="243"/>
      <c r="G410" s="243"/>
      <c r="H410" s="243"/>
    </row>
    <row r="411" spans="1:8">
      <c r="A411" s="141" t="s">
        <v>735</v>
      </c>
      <c r="B411" s="139"/>
      <c r="C411" s="141"/>
      <c r="D411" s="141" t="s">
        <v>422</v>
      </c>
      <c r="E411" s="243"/>
      <c r="F411" s="243"/>
      <c r="G411" s="243"/>
      <c r="H411" s="243"/>
    </row>
    <row r="412" spans="1:8">
      <c r="A412" s="141" t="s">
        <v>736</v>
      </c>
      <c r="B412" s="139"/>
      <c r="C412" s="141"/>
      <c r="D412" s="141" t="s">
        <v>423</v>
      </c>
      <c r="E412" s="243"/>
      <c r="F412" s="243"/>
      <c r="G412" s="243"/>
      <c r="H412" s="243"/>
    </row>
    <row r="413" spans="1:8">
      <c r="A413" s="141" t="s">
        <v>737</v>
      </c>
      <c r="B413" s="139"/>
      <c r="C413" s="141"/>
      <c r="D413" s="141" t="s">
        <v>424</v>
      </c>
      <c r="E413" s="243"/>
      <c r="F413" s="243"/>
      <c r="G413" s="243"/>
      <c r="H413" s="243"/>
    </row>
    <row r="414" spans="1:8">
      <c r="A414" s="141" t="s">
        <v>738</v>
      </c>
      <c r="B414" s="139"/>
      <c r="C414" s="141"/>
      <c r="D414" s="141" t="s">
        <v>425</v>
      </c>
      <c r="E414" s="243"/>
      <c r="F414" s="243"/>
      <c r="G414" s="243"/>
      <c r="H414" s="243"/>
    </row>
    <row r="415" spans="1:8">
      <c r="A415" s="141" t="s">
        <v>739</v>
      </c>
      <c r="B415" s="139"/>
      <c r="C415" s="141"/>
      <c r="D415" s="141" t="s">
        <v>426</v>
      </c>
      <c r="E415" s="243"/>
      <c r="F415" s="243"/>
      <c r="G415" s="243"/>
      <c r="H415" s="243"/>
    </row>
    <row r="416" spans="1:8">
      <c r="A416" s="141" t="s">
        <v>740</v>
      </c>
      <c r="B416" s="139"/>
      <c r="C416" s="141"/>
      <c r="D416" s="141" t="s">
        <v>427</v>
      </c>
      <c r="E416" s="243"/>
      <c r="F416" s="243"/>
      <c r="G416" s="243"/>
      <c r="H416" s="243"/>
    </row>
    <row r="417" spans="1:8">
      <c r="A417" s="141" t="s">
        <v>741</v>
      </c>
      <c r="B417" s="139"/>
      <c r="C417" s="141"/>
      <c r="D417" s="141" t="s">
        <v>428</v>
      </c>
      <c r="E417" s="243"/>
      <c r="F417" s="243"/>
      <c r="G417" s="243"/>
      <c r="H417" s="243"/>
    </row>
    <row r="418" spans="1:8">
      <c r="A418" s="141" t="s">
        <v>742</v>
      </c>
      <c r="B418" s="139"/>
      <c r="C418" s="141"/>
      <c r="D418" s="141" t="s">
        <v>429</v>
      </c>
      <c r="E418" s="243"/>
      <c r="F418" s="243"/>
      <c r="G418" s="243"/>
      <c r="H418" s="243"/>
    </row>
    <row r="419" spans="1:8">
      <c r="A419" s="141" t="s">
        <v>743</v>
      </c>
      <c r="B419" s="139"/>
      <c r="C419" s="141"/>
      <c r="D419" s="141" t="s">
        <v>430</v>
      </c>
      <c r="E419" s="243"/>
      <c r="F419" s="243"/>
      <c r="G419" s="243"/>
      <c r="H419" s="243"/>
    </row>
    <row r="420" spans="1:8">
      <c r="A420" s="141" t="s">
        <v>744</v>
      </c>
      <c r="B420" s="139"/>
      <c r="C420" s="141"/>
      <c r="D420" s="141" t="s">
        <v>431</v>
      </c>
      <c r="E420" s="243"/>
      <c r="F420" s="243"/>
      <c r="G420" s="243"/>
      <c r="H420" s="243"/>
    </row>
    <row r="421" spans="1:8">
      <c r="A421" s="412" t="s">
        <v>1231</v>
      </c>
      <c r="B421" s="139"/>
      <c r="C421" s="412"/>
      <c r="D421" s="412" t="s">
        <v>1228</v>
      </c>
      <c r="E421" s="412"/>
      <c r="F421" s="412"/>
      <c r="G421" s="243"/>
      <c r="H421" s="243"/>
    </row>
    <row r="422" spans="1:8">
      <c r="A422" s="141" t="s">
        <v>745</v>
      </c>
      <c r="B422" s="139"/>
      <c r="C422" s="141"/>
      <c r="D422" s="141" t="s">
        <v>432</v>
      </c>
      <c r="E422" s="243"/>
      <c r="F422" s="243"/>
      <c r="G422" s="243"/>
      <c r="H422" s="243"/>
    </row>
    <row r="423" spans="1:8">
      <c r="A423" s="141" t="s">
        <v>746</v>
      </c>
      <c r="B423" s="139"/>
      <c r="C423" s="141"/>
      <c r="D423" s="141" t="s">
        <v>433</v>
      </c>
      <c r="E423" s="243"/>
      <c r="F423" s="243"/>
      <c r="G423" s="243"/>
      <c r="H423" s="243"/>
    </row>
    <row r="424" spans="1:8">
      <c r="A424" s="141" t="s">
        <v>747</v>
      </c>
      <c r="B424" s="139"/>
      <c r="C424" s="141"/>
      <c r="D424" s="141" t="s">
        <v>434</v>
      </c>
      <c r="E424" s="243"/>
      <c r="F424" s="243"/>
      <c r="G424" s="243"/>
      <c r="H424" s="243"/>
    </row>
    <row r="425" spans="1:8">
      <c r="A425" s="141" t="s">
        <v>748</v>
      </c>
      <c r="B425" s="139"/>
      <c r="C425" s="141"/>
      <c r="D425" s="141" t="s">
        <v>435</v>
      </c>
      <c r="E425" s="243"/>
      <c r="F425" s="243"/>
      <c r="G425" s="243"/>
      <c r="H425" s="243"/>
    </row>
    <row r="426" spans="1:8">
      <c r="A426" s="141" t="s">
        <v>749</v>
      </c>
      <c r="B426" s="139"/>
      <c r="C426" s="141"/>
      <c r="D426" s="141" t="s">
        <v>436</v>
      </c>
      <c r="E426" s="243"/>
      <c r="F426" s="243"/>
      <c r="G426" s="243"/>
      <c r="H426" s="243"/>
    </row>
    <row r="427" spans="1:8">
      <c r="A427" s="141" t="s">
        <v>750</v>
      </c>
      <c r="B427" s="139"/>
      <c r="C427" s="141"/>
      <c r="D427" s="141" t="s">
        <v>437</v>
      </c>
      <c r="E427" s="243"/>
      <c r="F427" s="243"/>
      <c r="G427" s="243"/>
      <c r="H427" s="243"/>
    </row>
    <row r="428" spans="1:8">
      <c r="A428" s="141" t="s">
        <v>751</v>
      </c>
      <c r="B428" s="139"/>
      <c r="C428" s="141"/>
      <c r="D428" s="141" t="s">
        <v>438</v>
      </c>
      <c r="E428" s="243"/>
      <c r="F428" s="243"/>
      <c r="G428" s="243"/>
      <c r="H428" s="243"/>
    </row>
    <row r="429" spans="1:8">
      <c r="A429" s="141" t="s">
        <v>752</v>
      </c>
      <c r="B429" s="139"/>
      <c r="C429" s="141"/>
      <c r="D429" s="141" t="s">
        <v>439</v>
      </c>
      <c r="E429" s="243"/>
      <c r="F429" s="243"/>
      <c r="G429" s="243"/>
      <c r="H429" s="243"/>
    </row>
    <row r="430" spans="1:8">
      <c r="A430" s="141" t="s">
        <v>753</v>
      </c>
      <c r="B430" s="139"/>
      <c r="C430" s="141"/>
      <c r="D430" s="141" t="s">
        <v>440</v>
      </c>
      <c r="E430" s="243"/>
      <c r="F430" s="243"/>
      <c r="G430" s="243"/>
      <c r="H430" s="243"/>
    </row>
    <row r="431" spans="1:8">
      <c r="A431" s="141" t="s">
        <v>754</v>
      </c>
      <c r="B431" s="139"/>
      <c r="C431" s="141"/>
      <c r="D431" s="141" t="s">
        <v>441</v>
      </c>
      <c r="E431" s="243"/>
      <c r="F431" s="243"/>
      <c r="G431" s="243"/>
      <c r="H431" s="243"/>
    </row>
    <row r="432" spans="1:8">
      <c r="A432" s="141" t="s">
        <v>755</v>
      </c>
      <c r="B432" s="139"/>
      <c r="C432" s="141"/>
      <c r="D432" s="141" t="s">
        <v>442</v>
      </c>
      <c r="E432" s="243"/>
      <c r="F432" s="243"/>
      <c r="G432" s="243"/>
      <c r="H432" s="243"/>
    </row>
    <row r="433" spans="1:8">
      <c r="A433" s="141" t="s">
        <v>756</v>
      </c>
      <c r="B433" s="139"/>
      <c r="C433" s="141"/>
      <c r="D433" s="141" t="s">
        <v>443</v>
      </c>
      <c r="E433" s="243"/>
      <c r="F433" s="243"/>
      <c r="G433" s="243"/>
      <c r="H433" s="243"/>
    </row>
    <row r="434" spans="1:8">
      <c r="A434" s="141" t="s">
        <v>757</v>
      </c>
      <c r="B434" s="139"/>
      <c r="C434" s="141"/>
      <c r="D434" s="141" t="s">
        <v>444</v>
      </c>
      <c r="E434" s="243"/>
      <c r="F434" s="243"/>
      <c r="G434" s="243"/>
      <c r="H434" s="243"/>
    </row>
    <row r="435" spans="1:8">
      <c r="A435" s="141" t="s">
        <v>758</v>
      </c>
      <c r="B435" s="139"/>
      <c r="C435" s="141"/>
      <c r="D435" s="141" t="s">
        <v>445</v>
      </c>
      <c r="E435" s="243"/>
      <c r="F435" s="243"/>
      <c r="G435" s="243"/>
      <c r="H435" s="243"/>
    </row>
    <row r="436" spans="1:8">
      <c r="A436" s="141" t="s">
        <v>759</v>
      </c>
      <c r="B436" s="139"/>
      <c r="C436" s="141"/>
      <c r="D436" s="141" t="s">
        <v>446</v>
      </c>
      <c r="E436" s="243"/>
      <c r="F436" s="243"/>
      <c r="G436" s="243"/>
      <c r="H436" s="243"/>
    </row>
    <row r="437" spans="1:8">
      <c r="A437" s="141" t="s">
        <v>760</v>
      </c>
      <c r="B437" s="139"/>
      <c r="C437" s="141"/>
      <c r="D437" s="141" t="s">
        <v>447</v>
      </c>
      <c r="E437" s="243"/>
      <c r="F437" s="243"/>
      <c r="G437" s="243"/>
      <c r="H437" s="243"/>
    </row>
    <row r="438" spans="1:8">
      <c r="A438" s="141" t="s">
        <v>761</v>
      </c>
      <c r="B438" s="139"/>
      <c r="C438" s="141"/>
      <c r="D438" s="141" t="s">
        <v>448</v>
      </c>
      <c r="E438" s="243"/>
      <c r="F438" s="243"/>
      <c r="G438" s="243"/>
      <c r="H438" s="243"/>
    </row>
    <row r="439" spans="1:8">
      <c r="A439" s="141" t="s">
        <v>762</v>
      </c>
      <c r="B439" s="139"/>
      <c r="C439" s="141"/>
      <c r="D439" s="141" t="s">
        <v>449</v>
      </c>
      <c r="E439" s="243"/>
      <c r="F439" s="243"/>
      <c r="G439" s="243"/>
      <c r="H439" s="243"/>
    </row>
    <row r="440" spans="1:8">
      <c r="A440" s="141" t="s">
        <v>763</v>
      </c>
      <c r="B440" s="139"/>
      <c r="C440" s="141"/>
      <c r="D440" s="141" t="s">
        <v>450</v>
      </c>
      <c r="E440" s="243"/>
      <c r="F440" s="243"/>
      <c r="G440" s="243"/>
      <c r="H440" s="243"/>
    </row>
    <row r="441" spans="1:8">
      <c r="A441" s="141" t="s">
        <v>764</v>
      </c>
      <c r="B441" s="139"/>
      <c r="C441" s="141"/>
      <c r="D441" s="141" t="s">
        <v>451</v>
      </c>
      <c r="E441" s="243"/>
      <c r="F441" s="243"/>
      <c r="G441" s="243"/>
      <c r="H441" s="243"/>
    </row>
    <row r="442" spans="1:8">
      <c r="A442" s="141" t="s">
        <v>765</v>
      </c>
      <c r="B442" s="139"/>
      <c r="C442" s="141"/>
      <c r="D442" s="141" t="s">
        <v>452</v>
      </c>
      <c r="E442" s="243"/>
      <c r="F442" s="243"/>
      <c r="G442" s="243"/>
      <c r="H442" s="243"/>
    </row>
    <row r="443" spans="1:8">
      <c r="A443" s="141" t="s">
        <v>766</v>
      </c>
      <c r="B443" s="139"/>
      <c r="C443" s="141"/>
      <c r="D443" s="141" t="s">
        <v>453</v>
      </c>
      <c r="E443" s="243"/>
      <c r="F443" s="243"/>
      <c r="G443" s="243"/>
      <c r="H443" s="243"/>
    </row>
    <row r="444" spans="1:8">
      <c r="A444" s="141" t="s">
        <v>767</v>
      </c>
      <c r="B444" s="139"/>
      <c r="C444" s="141"/>
      <c r="D444" s="141" t="s">
        <v>454</v>
      </c>
      <c r="E444" s="243"/>
      <c r="F444" s="243"/>
      <c r="G444" s="243"/>
      <c r="H444" s="243"/>
    </row>
    <row r="445" spans="1:8">
      <c r="A445" s="141" t="s">
        <v>768</v>
      </c>
      <c r="B445" s="139"/>
      <c r="C445" s="141"/>
      <c r="D445" s="141" t="s">
        <v>455</v>
      </c>
      <c r="E445" s="243"/>
      <c r="F445" s="243"/>
      <c r="G445" s="243"/>
      <c r="H445" s="243"/>
    </row>
    <row r="446" spans="1:8">
      <c r="A446" s="141" t="s">
        <v>769</v>
      </c>
      <c r="B446" s="139"/>
      <c r="C446" s="141"/>
      <c r="D446" s="141" t="s">
        <v>456</v>
      </c>
      <c r="E446" s="243"/>
      <c r="F446" s="243"/>
      <c r="G446" s="243"/>
      <c r="H446" s="243"/>
    </row>
    <row r="447" spans="1:8">
      <c r="A447" s="141" t="s">
        <v>770</v>
      </c>
      <c r="B447" s="139"/>
      <c r="C447" s="141"/>
      <c r="D447" s="141" t="s">
        <v>457</v>
      </c>
      <c r="E447" s="243"/>
      <c r="F447" s="243"/>
      <c r="G447" s="243"/>
      <c r="H447" s="243"/>
    </row>
    <row r="448" spans="1:8">
      <c r="A448" s="141" t="s">
        <v>771</v>
      </c>
      <c r="B448" s="139"/>
      <c r="C448" s="141"/>
      <c r="D448" s="141" t="s">
        <v>458</v>
      </c>
      <c r="E448" s="243"/>
      <c r="F448" s="243"/>
      <c r="G448" s="243"/>
      <c r="H448" s="243"/>
    </row>
    <row r="449" spans="1:8">
      <c r="A449" s="141" t="s">
        <v>772</v>
      </c>
      <c r="B449" s="139"/>
      <c r="C449" s="141"/>
      <c r="D449" s="141" t="s">
        <v>459</v>
      </c>
      <c r="E449" s="243"/>
      <c r="F449" s="243"/>
      <c r="G449" s="243"/>
      <c r="H449" s="243"/>
    </row>
    <row r="450" spans="1:8">
      <c r="A450" s="141" t="s">
        <v>773</v>
      </c>
      <c r="B450" s="415"/>
      <c r="C450" s="141"/>
      <c r="D450" s="141" t="s">
        <v>460</v>
      </c>
      <c r="E450" s="243"/>
      <c r="F450" s="243"/>
      <c r="G450" s="243"/>
      <c r="H450" s="243"/>
    </row>
    <row r="451" spans="1:8">
      <c r="A451" s="141" t="s">
        <v>774</v>
      </c>
      <c r="B451" s="139"/>
      <c r="C451" s="141"/>
      <c r="D451" s="141" t="s">
        <v>461</v>
      </c>
      <c r="E451" s="243"/>
      <c r="F451" s="243"/>
      <c r="G451" s="243"/>
      <c r="H451" s="243"/>
    </row>
    <row r="452" spans="1:8">
      <c r="A452" s="141" t="s">
        <v>775</v>
      </c>
      <c r="B452" s="139"/>
      <c r="C452" s="141"/>
      <c r="D452" s="141" t="s">
        <v>462</v>
      </c>
      <c r="E452" s="243"/>
      <c r="F452" s="243"/>
      <c r="G452" s="243"/>
      <c r="H452" s="243"/>
    </row>
    <row r="453" spans="1:8">
      <c r="A453" s="141" t="s">
        <v>776</v>
      </c>
      <c r="B453" s="139"/>
      <c r="C453" s="141"/>
      <c r="D453" s="141" t="s">
        <v>463</v>
      </c>
      <c r="E453" s="243"/>
      <c r="F453" s="243"/>
      <c r="G453" s="243"/>
      <c r="H453" s="243"/>
    </row>
    <row r="454" spans="1:8">
      <c r="A454" s="141" t="s">
        <v>777</v>
      </c>
      <c r="B454" s="139"/>
      <c r="C454" s="141"/>
      <c r="D454" s="141" t="s">
        <v>464</v>
      </c>
      <c r="E454" s="243"/>
      <c r="F454" s="243"/>
      <c r="G454" s="243"/>
      <c r="H454" s="243"/>
    </row>
    <row r="455" spans="1:8">
      <c r="A455" s="141" t="s">
        <v>778</v>
      </c>
      <c r="B455" s="139"/>
      <c r="C455" s="141"/>
      <c r="D455" s="141" t="s">
        <v>465</v>
      </c>
      <c r="E455" s="243"/>
      <c r="F455" s="243"/>
      <c r="G455" s="243"/>
      <c r="H455" s="243"/>
    </row>
    <row r="456" spans="1:8">
      <c r="A456" s="141" t="s">
        <v>779</v>
      </c>
      <c r="B456" s="139"/>
      <c r="C456" s="141"/>
      <c r="D456" s="141" t="s">
        <v>466</v>
      </c>
      <c r="E456" s="243"/>
      <c r="F456" s="243"/>
      <c r="G456" s="243"/>
      <c r="H456" s="243"/>
    </row>
    <row r="457" spans="1:8">
      <c r="A457" s="141" t="s">
        <v>780</v>
      </c>
      <c r="B457" s="139"/>
      <c r="C457" s="141"/>
      <c r="D457" s="141" t="s">
        <v>467</v>
      </c>
      <c r="E457" s="243"/>
      <c r="F457" s="243"/>
      <c r="G457" s="243"/>
      <c r="H457" s="243"/>
    </row>
    <row r="458" spans="1:8">
      <c r="A458" s="141" t="s">
        <v>781</v>
      </c>
      <c r="B458" s="139"/>
      <c r="C458" s="141"/>
      <c r="D458" s="141" t="s">
        <v>468</v>
      </c>
      <c r="E458" s="243"/>
      <c r="F458" s="243"/>
      <c r="G458" s="243"/>
      <c r="H458" s="243"/>
    </row>
    <row r="459" spans="1:8">
      <c r="A459" s="141" t="s">
        <v>782</v>
      </c>
      <c r="B459" s="139"/>
      <c r="C459" s="141"/>
      <c r="D459" s="141" t="s">
        <v>469</v>
      </c>
      <c r="E459" s="243"/>
      <c r="F459" s="243"/>
      <c r="G459" s="243"/>
      <c r="H459" s="243"/>
    </row>
    <row r="460" spans="1:8">
      <c r="A460" s="420" t="s">
        <v>783</v>
      </c>
      <c r="B460" s="139"/>
      <c r="C460" s="420"/>
      <c r="D460" s="420" t="s">
        <v>470</v>
      </c>
      <c r="E460" s="421"/>
      <c r="F460" s="421"/>
      <c r="G460" s="421"/>
      <c r="H460" s="243"/>
    </row>
    <row r="461" spans="1:8">
      <c r="A461" s="406" t="s">
        <v>1232</v>
      </c>
      <c r="B461" s="406"/>
      <c r="C461" s="406"/>
      <c r="D461" s="406" t="s">
        <v>1176</v>
      </c>
    </row>
    <row r="462" spans="1:8">
      <c r="A462" s="406" t="s">
        <v>1233</v>
      </c>
      <c r="B462" s="406"/>
      <c r="C462" s="406"/>
      <c r="D462" s="406" t="s">
        <v>1177</v>
      </c>
    </row>
    <row r="463" spans="1:8">
      <c r="A463" s="406" t="s">
        <v>1234</v>
      </c>
      <c r="B463" s="406"/>
      <c r="C463" s="406"/>
      <c r="D463" s="406" t="s">
        <v>1178</v>
      </c>
    </row>
    <row r="464" spans="1:8">
      <c r="A464" s="406" t="s">
        <v>1235</v>
      </c>
      <c r="B464" s="406"/>
      <c r="C464" s="406"/>
      <c r="D464" s="406" t="s">
        <v>1179</v>
      </c>
    </row>
    <row r="465" spans="1:4">
      <c r="A465" s="406" t="s">
        <v>1236</v>
      </c>
      <c r="B465" s="406"/>
      <c r="C465" s="406"/>
      <c r="D465" s="406" t="s">
        <v>1180</v>
      </c>
    </row>
    <row r="466" spans="1:4">
      <c r="A466" s="406" t="s">
        <v>1237</v>
      </c>
      <c r="B466" s="406"/>
      <c r="C466" s="406"/>
      <c r="D466" s="406" t="s">
        <v>1181</v>
      </c>
    </row>
    <row r="467" spans="1:4">
      <c r="A467" s="406" t="s">
        <v>1238</v>
      </c>
      <c r="B467" s="406"/>
      <c r="C467" s="406"/>
      <c r="D467" s="406" t="s">
        <v>1182</v>
      </c>
    </row>
    <row r="468" spans="1:4">
      <c r="A468" s="406" t="s">
        <v>1239</v>
      </c>
      <c r="B468" s="406"/>
      <c r="C468" s="406"/>
      <c r="D468" s="406" t="s">
        <v>1183</v>
      </c>
    </row>
    <row r="469" spans="1:4">
      <c r="A469" s="406" t="s">
        <v>1240</v>
      </c>
      <c r="B469" s="406"/>
      <c r="C469" s="406"/>
      <c r="D469" s="406" t="s">
        <v>1184</v>
      </c>
    </row>
    <row r="470" spans="1:4">
      <c r="A470" s="406" t="s">
        <v>1241</v>
      </c>
      <c r="B470" s="406"/>
      <c r="C470" s="406"/>
      <c r="D470" s="406" t="s">
        <v>1185</v>
      </c>
    </row>
    <row r="471" spans="1:4">
      <c r="A471" s="406" t="s">
        <v>1242</v>
      </c>
      <c r="B471" s="406"/>
      <c r="C471" s="406"/>
      <c r="D471" s="406" t="s">
        <v>1186</v>
      </c>
    </row>
    <row r="472" spans="1:4">
      <c r="A472" s="406" t="s">
        <v>1243</v>
      </c>
      <c r="B472" s="406"/>
      <c r="C472" s="406"/>
      <c r="D472" s="406" t="s">
        <v>1187</v>
      </c>
    </row>
    <row r="473" spans="1:4">
      <c r="A473" s="406" t="s">
        <v>1244</v>
      </c>
      <c r="B473" s="406"/>
      <c r="C473" s="406"/>
      <c r="D473" s="406" t="s">
        <v>1188</v>
      </c>
    </row>
    <row r="474" spans="1:4">
      <c r="A474" s="406" t="s">
        <v>1245</v>
      </c>
      <c r="B474" s="406"/>
      <c r="C474" s="406"/>
      <c r="D474" s="406" t="s">
        <v>1189</v>
      </c>
    </row>
    <row r="475" spans="1:4">
      <c r="A475" s="406" t="s">
        <v>1246</v>
      </c>
      <c r="B475" s="406"/>
      <c r="C475" s="406"/>
      <c r="D475" s="406" t="s">
        <v>1190</v>
      </c>
    </row>
    <row r="476" spans="1:4">
      <c r="A476" s="406" t="s">
        <v>1247</v>
      </c>
      <c r="B476" s="406"/>
      <c r="C476" s="406"/>
      <c r="D476" s="406" t="s">
        <v>1191</v>
      </c>
    </row>
    <row r="477" spans="1:4">
      <c r="A477" s="406" t="s">
        <v>1248</v>
      </c>
      <c r="B477" s="406"/>
      <c r="C477" s="406"/>
      <c r="D477" s="406" t="s">
        <v>1192</v>
      </c>
    </row>
    <row r="478" spans="1:4">
      <c r="A478" s="406" t="s">
        <v>1249</v>
      </c>
      <c r="B478" s="406"/>
      <c r="C478" s="406"/>
      <c r="D478" s="406" t="s">
        <v>1193</v>
      </c>
    </row>
    <row r="479" spans="1:4">
      <c r="A479" s="406" t="s">
        <v>1250</v>
      </c>
      <c r="B479" s="406"/>
      <c r="C479" s="406"/>
      <c r="D479" s="406" t="s">
        <v>1194</v>
      </c>
    </row>
    <row r="480" spans="1:4">
      <c r="A480" s="406" t="s">
        <v>1251</v>
      </c>
      <c r="B480" s="406"/>
      <c r="C480" s="406"/>
      <c r="D480" s="406" t="s">
        <v>1195</v>
      </c>
    </row>
    <row r="481" spans="1:4">
      <c r="A481" s="406" t="s">
        <v>1252</v>
      </c>
      <c r="B481" s="406"/>
      <c r="C481" s="406"/>
      <c r="D481" s="406" t="s">
        <v>1196</v>
      </c>
    </row>
    <row r="482" spans="1:4">
      <c r="A482" s="406" t="s">
        <v>1253</v>
      </c>
      <c r="B482" s="406"/>
      <c r="C482" s="406"/>
      <c r="D482" s="406" t="s">
        <v>1197</v>
      </c>
    </row>
    <row r="483" spans="1:4">
      <c r="A483" s="406" t="s">
        <v>1254</v>
      </c>
      <c r="B483" s="406"/>
      <c r="C483" s="406"/>
      <c r="D483" s="406" t="s">
        <v>1198</v>
      </c>
    </row>
    <row r="484" spans="1:4">
      <c r="A484" s="406" t="s">
        <v>1255</v>
      </c>
      <c r="B484" s="406"/>
      <c r="C484" s="406"/>
      <c r="D484" s="406" t="s">
        <v>1199</v>
      </c>
    </row>
    <row r="485" spans="1:4">
      <c r="A485" s="406" t="s">
        <v>1256</v>
      </c>
      <c r="B485" s="406"/>
      <c r="C485" s="406"/>
      <c r="D485" s="406" t="s">
        <v>1200</v>
      </c>
    </row>
    <row r="486" spans="1:4">
      <c r="A486" s="406" t="s">
        <v>1257</v>
      </c>
      <c r="B486" s="406"/>
      <c r="C486" s="406"/>
      <c r="D486" s="406" t="s">
        <v>1201</v>
      </c>
    </row>
    <row r="487" spans="1:4">
      <c r="A487" s="406" t="s">
        <v>1258</v>
      </c>
      <c r="B487" s="406"/>
      <c r="C487" s="406"/>
      <c r="D487" s="406" t="s">
        <v>1202</v>
      </c>
    </row>
    <row r="488" spans="1:4">
      <c r="A488" s="406" t="s">
        <v>1259</v>
      </c>
      <c r="B488" s="406"/>
      <c r="C488" s="406"/>
      <c r="D488" s="406" t="s">
        <v>1203</v>
      </c>
    </row>
    <row r="489" spans="1:4">
      <c r="A489" s="406" t="s">
        <v>1260</v>
      </c>
      <c r="B489" s="406"/>
      <c r="C489" s="406"/>
      <c r="D489" s="406" t="s">
        <v>1204</v>
      </c>
    </row>
    <row r="490" spans="1:4">
      <c r="A490" s="406" t="s">
        <v>1261</v>
      </c>
      <c r="B490" s="406"/>
      <c r="C490" s="406"/>
      <c r="D490" s="406" t="s">
        <v>1205</v>
      </c>
    </row>
    <row r="491" spans="1:4">
      <c r="A491" s="406" t="s">
        <v>1262</v>
      </c>
      <c r="B491" s="406"/>
      <c r="C491" s="406"/>
      <c r="D491" s="406" t="s">
        <v>1206</v>
      </c>
    </row>
    <row r="492" spans="1:4">
      <c r="A492" s="406" t="s">
        <v>1263</v>
      </c>
      <c r="B492" s="406"/>
      <c r="C492" s="406"/>
      <c r="D492" s="406" t="s">
        <v>1207</v>
      </c>
    </row>
    <row r="493" spans="1:4">
      <c r="A493" s="406" t="s">
        <v>1264</v>
      </c>
      <c r="B493" s="406"/>
      <c r="C493" s="406"/>
      <c r="D493" s="406" t="s">
        <v>1208</v>
      </c>
    </row>
    <row r="494" spans="1:4">
      <c r="A494" s="406" t="s">
        <v>1265</v>
      </c>
      <c r="B494" s="406"/>
      <c r="C494" s="406"/>
      <c r="D494" s="406" t="s">
        <v>1209</v>
      </c>
    </row>
    <row r="495" spans="1:4">
      <c r="A495" s="406" t="s">
        <v>1266</v>
      </c>
      <c r="B495" s="406"/>
      <c r="C495" s="406"/>
      <c r="D495" s="406" t="s">
        <v>1210</v>
      </c>
    </row>
    <row r="496" spans="1:4">
      <c r="A496" s="406" t="s">
        <v>1267</v>
      </c>
      <c r="B496" s="406"/>
      <c r="C496" s="406"/>
      <c r="D496" s="406" t="s">
        <v>1211</v>
      </c>
    </row>
    <row r="497" spans="1:8">
      <c r="A497" s="406" t="s">
        <v>1268</v>
      </c>
      <c r="B497" s="406"/>
      <c r="C497" s="406"/>
      <c r="D497" s="406" t="s">
        <v>1212</v>
      </c>
    </row>
    <row r="498" spans="1:8">
      <c r="A498" s="406" t="s">
        <v>1269</v>
      </c>
      <c r="B498" s="406"/>
      <c r="C498" s="406"/>
      <c r="D498" s="406" t="s">
        <v>1213</v>
      </c>
    </row>
    <row r="499" spans="1:8">
      <c r="A499" s="406" t="s">
        <v>1270</v>
      </c>
      <c r="B499" s="406"/>
      <c r="C499" s="406"/>
      <c r="D499" s="406" t="s">
        <v>1214</v>
      </c>
    </row>
    <row r="500" spans="1:8">
      <c r="A500" s="406" t="s">
        <v>1271</v>
      </c>
      <c r="B500" s="406"/>
      <c r="C500" s="406"/>
      <c r="D500" s="406" t="s">
        <v>1215</v>
      </c>
    </row>
    <row r="501" spans="1:8">
      <c r="A501" s="406" t="s">
        <v>1272</v>
      </c>
      <c r="B501" s="406"/>
      <c r="C501" s="406"/>
      <c r="D501" s="406" t="s">
        <v>1216</v>
      </c>
    </row>
    <row r="502" spans="1:8">
      <c r="A502" s="406" t="s">
        <v>1273</v>
      </c>
      <c r="B502" s="406"/>
      <c r="C502" s="406"/>
      <c r="D502" s="406" t="s">
        <v>1217</v>
      </c>
    </row>
    <row r="503" spans="1:8">
      <c r="A503" s="406" t="s">
        <v>1274</v>
      </c>
      <c r="B503" s="406"/>
      <c r="C503" s="406"/>
      <c r="D503" s="406" t="s">
        <v>1218</v>
      </c>
    </row>
    <row r="504" spans="1:8">
      <c r="A504" s="406" t="s">
        <v>1275</v>
      </c>
      <c r="B504" s="406"/>
      <c r="C504" s="406"/>
      <c r="D504" s="406" t="s">
        <v>1219</v>
      </c>
    </row>
    <row r="505" spans="1:8">
      <c r="A505" s="406" t="s">
        <v>1276</v>
      </c>
      <c r="B505" s="406"/>
      <c r="C505" s="406"/>
      <c r="D505" s="406" t="s">
        <v>1220</v>
      </c>
    </row>
    <row r="506" spans="1:8">
      <c r="A506" s="406" t="s">
        <v>1277</v>
      </c>
      <c r="B506" s="406"/>
      <c r="C506" s="406"/>
      <c r="D506" s="406" t="s">
        <v>1221</v>
      </c>
    </row>
    <row r="507" spans="1:8">
      <c r="A507" s="406" t="s">
        <v>1278</v>
      </c>
      <c r="B507" s="406"/>
      <c r="C507" s="406"/>
      <c r="D507" s="406" t="s">
        <v>1222</v>
      </c>
    </row>
    <row r="508" spans="1:8">
      <c r="A508" s="406" t="s">
        <v>1279</v>
      </c>
      <c r="B508" s="406"/>
      <c r="C508" s="406"/>
      <c r="D508" s="406" t="s">
        <v>1223</v>
      </c>
    </row>
    <row r="511" spans="1:8">
      <c r="A511" t="s">
        <v>1303</v>
      </c>
      <c r="D511" t="s">
        <v>1280</v>
      </c>
    </row>
    <row r="512" spans="1:8">
      <c r="A512" s="140" t="s">
        <v>792</v>
      </c>
      <c r="B512" s="139"/>
      <c r="C512" s="139"/>
      <c r="D512" s="139" t="s">
        <v>335</v>
      </c>
      <c r="E512" s="410"/>
      <c r="F512" s="410"/>
      <c r="G512" s="410"/>
      <c r="H512" s="410"/>
    </row>
    <row r="513" spans="1:8">
      <c r="A513" t="s">
        <v>1305</v>
      </c>
      <c r="D513" t="s">
        <v>1284</v>
      </c>
    </row>
    <row r="514" spans="1:8">
      <c r="A514" t="s">
        <v>1306</v>
      </c>
      <c r="D514" t="s">
        <v>1286</v>
      </c>
    </row>
    <row r="515" spans="1:8">
      <c r="A515" s="412" t="s">
        <v>1301</v>
      </c>
      <c r="B515" s="412"/>
      <c r="C515" s="412"/>
      <c r="D515" s="412" t="s">
        <v>1287</v>
      </c>
      <c r="E515" s="412"/>
    </row>
    <row r="516" spans="1:8">
      <c r="A516" t="s">
        <v>1307</v>
      </c>
      <c r="D516" t="s">
        <v>1290</v>
      </c>
    </row>
    <row r="517" spans="1:8">
      <c r="A517" t="s">
        <v>1308</v>
      </c>
      <c r="D517" t="s">
        <v>1292</v>
      </c>
    </row>
    <row r="518" spans="1:8">
      <c r="A518" t="s">
        <v>1309</v>
      </c>
      <c r="D518" t="s">
        <v>1294</v>
      </c>
    </row>
    <row r="519" spans="1:8">
      <c r="A519" t="s">
        <v>1310</v>
      </c>
      <c r="D519" t="s">
        <v>1296</v>
      </c>
    </row>
    <row r="520" spans="1:8">
      <c r="A520" t="s">
        <v>1334</v>
      </c>
      <c r="D520" t="s">
        <v>1298</v>
      </c>
    </row>
    <row r="521" spans="1:8">
      <c r="A521" t="s">
        <v>1335</v>
      </c>
      <c r="D521" t="s">
        <v>1299</v>
      </c>
    </row>
    <row r="522" spans="1:8">
      <c r="A522" t="s">
        <v>1336</v>
      </c>
      <c r="D522" t="s">
        <v>1300</v>
      </c>
    </row>
    <row r="525" spans="1:8">
      <c r="A525" s="410" t="s">
        <v>1311</v>
      </c>
      <c r="B525" s="410"/>
      <c r="C525" s="410"/>
      <c r="D525" s="410" t="s">
        <v>1280</v>
      </c>
      <c r="E525" s="410"/>
      <c r="F525" s="410"/>
      <c r="G525" s="410"/>
    </row>
    <row r="526" spans="1:8">
      <c r="A526" s="140" t="s">
        <v>648</v>
      </c>
      <c r="B526" s="139"/>
      <c r="C526" s="139"/>
      <c r="D526" s="139" t="s">
        <v>335</v>
      </c>
      <c r="E526" s="410"/>
      <c r="F526" s="410"/>
      <c r="G526" s="410"/>
      <c r="H526" s="410"/>
    </row>
    <row r="527" spans="1:8">
      <c r="A527" s="410" t="s">
        <v>1313</v>
      </c>
      <c r="B527" s="410"/>
      <c r="C527" s="410"/>
      <c r="D527" s="410" t="s">
        <v>1284</v>
      </c>
      <c r="E527" s="410"/>
      <c r="F527" s="410"/>
      <c r="G527" s="410"/>
    </row>
    <row r="528" spans="1:8">
      <c r="A528" s="410" t="s">
        <v>1314</v>
      </c>
      <c r="B528" s="410"/>
      <c r="C528" s="410"/>
      <c r="D528" s="410" t="s">
        <v>1286</v>
      </c>
      <c r="E528" s="410"/>
      <c r="F528" s="410"/>
      <c r="G528" s="410"/>
    </row>
    <row r="529" spans="1:7">
      <c r="A529" s="412" t="s">
        <v>1302</v>
      </c>
      <c r="B529" s="412"/>
      <c r="C529" s="412"/>
      <c r="D529" s="412" t="s">
        <v>1287</v>
      </c>
      <c r="E529" s="412"/>
      <c r="F529" s="410"/>
      <c r="G529" s="410"/>
    </row>
    <row r="530" spans="1:7">
      <c r="A530" s="410" t="s">
        <v>1315</v>
      </c>
      <c r="B530" s="410"/>
      <c r="C530" s="410"/>
      <c r="D530" s="410" t="s">
        <v>1290</v>
      </c>
      <c r="E530" s="410"/>
      <c r="F530" s="410"/>
      <c r="G530" s="410"/>
    </row>
    <row r="531" spans="1:7">
      <c r="A531" s="410" t="s">
        <v>1316</v>
      </c>
      <c r="B531" s="410"/>
      <c r="C531" s="410"/>
      <c r="D531" s="410" t="s">
        <v>1292</v>
      </c>
      <c r="E531" s="410"/>
      <c r="F531" s="410"/>
      <c r="G531" s="410"/>
    </row>
    <row r="532" spans="1:7">
      <c r="A532" s="410" t="s">
        <v>1317</v>
      </c>
      <c r="B532" s="410"/>
      <c r="C532" s="410"/>
      <c r="D532" s="410" t="s">
        <v>1294</v>
      </c>
      <c r="E532" s="410"/>
      <c r="F532" s="410"/>
      <c r="G532" s="410"/>
    </row>
    <row r="533" spans="1:7">
      <c r="A533" s="410" t="s">
        <v>1318</v>
      </c>
      <c r="B533" s="410"/>
      <c r="C533" s="410"/>
      <c r="D533" s="410" t="s">
        <v>1296</v>
      </c>
      <c r="E533" s="410"/>
      <c r="F533" s="410"/>
      <c r="G533" s="410"/>
    </row>
    <row r="534" spans="1:7">
      <c r="A534" s="410" t="s">
        <v>1337</v>
      </c>
      <c r="B534" s="410"/>
      <c r="C534" s="410"/>
      <c r="D534" s="410" t="s">
        <v>1298</v>
      </c>
      <c r="E534" s="410"/>
      <c r="F534" s="410"/>
      <c r="G534" s="410"/>
    </row>
    <row r="535" spans="1:7">
      <c r="A535" s="410" t="s">
        <v>1338</v>
      </c>
      <c r="B535" s="410"/>
      <c r="C535" s="410"/>
      <c r="D535" s="410" t="s">
        <v>1299</v>
      </c>
      <c r="E535" s="410"/>
      <c r="F535" s="410"/>
      <c r="G535" s="410"/>
    </row>
    <row r="536" spans="1:7">
      <c r="A536" s="410" t="s">
        <v>1339</v>
      </c>
      <c r="B536" s="410"/>
      <c r="C536" s="410"/>
      <c r="D536" s="410" t="s">
        <v>1300</v>
      </c>
      <c r="E536" s="410"/>
      <c r="F536" s="410"/>
      <c r="G536" s="410"/>
    </row>
    <row r="539" spans="1:7">
      <c r="A539" t="s">
        <v>1328</v>
      </c>
      <c r="D539" t="s">
        <v>1298</v>
      </c>
    </row>
    <row r="540" spans="1:7">
      <c r="A540" t="s">
        <v>1329</v>
      </c>
      <c r="D540" t="s">
        <v>1299</v>
      </c>
    </row>
    <row r="541" spans="1:7">
      <c r="A541" t="s">
        <v>1330</v>
      </c>
      <c r="D541" t="s">
        <v>1300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50"/>
  <sheetViews>
    <sheetView workbookViewId="0"/>
  </sheetViews>
  <sheetFormatPr baseColWidth="10" defaultRowHeight="14.4"/>
  <cols>
    <col min="1" max="1" width="12.88671875" bestFit="1" customWidth="1"/>
  </cols>
  <sheetData>
    <row r="1" spans="1:4" s="185" customFormat="1">
      <c r="A1" s="185" t="s">
        <v>1175</v>
      </c>
      <c r="B1" s="306">
        <f>+'AG15.1.3'!Q144</f>
        <v>0.81</v>
      </c>
      <c r="D1" s="185" t="s">
        <v>936</v>
      </c>
    </row>
    <row r="2" spans="1:4" s="185" customFormat="1"/>
    <row r="3" spans="1:4" s="185" customFormat="1">
      <c r="A3" s="403" t="s">
        <v>1052</v>
      </c>
      <c r="B3" s="403" t="str">
        <f>+'AG15.1'!I24</f>
        <v>NO</v>
      </c>
      <c r="C3" s="403"/>
      <c r="D3" s="403" t="s">
        <v>1053</v>
      </c>
    </row>
    <row r="4" spans="1:4" s="185" customFormat="1">
      <c r="A4" s="403" t="s">
        <v>1054</v>
      </c>
      <c r="B4" s="403" t="str">
        <f>+'AG15.1'!I31</f>
        <v>SI</v>
      </c>
      <c r="C4" s="403"/>
      <c r="D4" s="403" t="s">
        <v>1055</v>
      </c>
    </row>
    <row r="5" spans="1:4" s="185" customFormat="1">
      <c r="A5" s="403" t="s">
        <v>1056</v>
      </c>
      <c r="B5" s="403" t="str">
        <f>+'AG15.1'!I38</f>
        <v>NO</v>
      </c>
      <c r="C5" s="403"/>
      <c r="D5" s="403" t="s">
        <v>1057</v>
      </c>
    </row>
    <row r="6" spans="1:4" s="185" customFormat="1">
      <c r="A6" s="403" t="s">
        <v>1058</v>
      </c>
      <c r="B6" s="403" t="str">
        <f>+'AG15.1'!I45</f>
        <v>NO</v>
      </c>
      <c r="C6" s="403"/>
      <c r="D6" s="403" t="s">
        <v>1059</v>
      </c>
    </row>
    <row r="7" spans="1:4" s="185" customFormat="1">
      <c r="A7" s="403" t="s">
        <v>1060</v>
      </c>
      <c r="B7" s="403" t="str">
        <f>+'AG15.1'!I52</f>
        <v>SI</v>
      </c>
      <c r="C7" s="403"/>
      <c r="D7" s="403" t="s">
        <v>1061</v>
      </c>
    </row>
    <row r="8" spans="1:4" s="185" customFormat="1">
      <c r="A8" s="403" t="s">
        <v>1062</v>
      </c>
      <c r="B8" s="403" t="str">
        <f>+'AG15.1'!I59</f>
        <v>NO</v>
      </c>
      <c r="C8" s="403"/>
      <c r="D8" s="403" t="s">
        <v>1063</v>
      </c>
    </row>
    <row r="9" spans="1:4" s="185" customFormat="1">
      <c r="A9" s="403" t="s">
        <v>1064</v>
      </c>
      <c r="B9" s="403" t="str">
        <f>+'AG15.1'!I66</f>
        <v>NO</v>
      </c>
      <c r="C9" s="403"/>
      <c r="D9" s="403" t="s">
        <v>1065</v>
      </c>
    </row>
    <row r="10" spans="1:4" s="185" customFormat="1">
      <c r="A10" s="403" t="s">
        <v>1066</v>
      </c>
      <c r="B10" s="403" t="str">
        <f>+'AG15.1'!I73</f>
        <v>NO</v>
      </c>
      <c r="C10" s="403"/>
      <c r="D10" s="403" t="s">
        <v>1067</v>
      </c>
    </row>
    <row r="11" spans="1:4" s="185" customFormat="1">
      <c r="A11" s="403" t="s">
        <v>1068</v>
      </c>
      <c r="B11" s="403" t="str">
        <f>+'AG15.1'!I80</f>
        <v>SI</v>
      </c>
      <c r="C11" s="403"/>
      <c r="D11" s="403" t="s">
        <v>1069</v>
      </c>
    </row>
    <row r="12" spans="1:4" s="185" customFormat="1">
      <c r="A12" s="403" t="s">
        <v>1070</v>
      </c>
      <c r="B12" s="403" t="str">
        <f>+'AG15.1'!I87</f>
        <v>SI</v>
      </c>
      <c r="C12" s="403"/>
      <c r="D12" s="403" t="s">
        <v>1071</v>
      </c>
    </row>
    <row r="13" spans="1:4" s="185" customFormat="1">
      <c r="A13" s="403" t="s">
        <v>1072</v>
      </c>
      <c r="B13" s="403" t="str">
        <f>+'AG15.1'!I94</f>
        <v>NO</v>
      </c>
      <c r="C13" s="403"/>
      <c r="D13" s="403" t="s">
        <v>1073</v>
      </c>
    </row>
    <row r="14" spans="1:4" s="185" customFormat="1">
      <c r="A14" s="403" t="s">
        <v>1074</v>
      </c>
      <c r="B14" s="403" t="str">
        <f>+'AG15.1'!I101</f>
        <v>NO</v>
      </c>
      <c r="C14" s="403"/>
      <c r="D14" s="403" t="s">
        <v>1075</v>
      </c>
    </row>
    <row r="15" spans="1:4" s="185" customFormat="1">
      <c r="A15" s="403" t="s">
        <v>1076</v>
      </c>
      <c r="B15" s="403" t="str">
        <f>+'AG15.1'!I108</f>
        <v>SI</v>
      </c>
      <c r="C15" s="403"/>
      <c r="D15" s="403" t="s">
        <v>1077</v>
      </c>
    </row>
    <row r="16" spans="1:4" s="185" customFormat="1">
      <c r="A16" s="403" t="s">
        <v>1078</v>
      </c>
      <c r="B16" s="403" t="str">
        <f>+'AG15.1'!I115</f>
        <v>SI</v>
      </c>
      <c r="C16" s="403"/>
      <c r="D16" s="403" t="s">
        <v>1079</v>
      </c>
    </row>
    <row r="17" spans="1:4" s="185" customFormat="1">
      <c r="A17" s="403" t="s">
        <v>1080</v>
      </c>
      <c r="B17" s="403" t="str">
        <f>+'AG15.1'!I122</f>
        <v>SI</v>
      </c>
      <c r="C17" s="403"/>
      <c r="D17" s="403" t="s">
        <v>1081</v>
      </c>
    </row>
    <row r="18" spans="1:4" s="185" customFormat="1">
      <c r="A18" s="403" t="s">
        <v>1082</v>
      </c>
      <c r="B18" s="403" t="str">
        <f>+'AG15.1'!I129</f>
        <v>NO</v>
      </c>
      <c r="C18" s="403"/>
      <c r="D18" s="403" t="s">
        <v>1083</v>
      </c>
    </row>
    <row r="19" spans="1:4" s="185" customFormat="1">
      <c r="A19" s="403" t="s">
        <v>1084</v>
      </c>
      <c r="B19" s="403" t="str">
        <f>+'AG15.1'!I136</f>
        <v>NO</v>
      </c>
      <c r="C19" s="403"/>
      <c r="D19" s="403" t="s">
        <v>1085</v>
      </c>
    </row>
    <row r="20" spans="1:4" s="185" customFormat="1">
      <c r="A20" s="403" t="s">
        <v>1086</v>
      </c>
      <c r="B20" s="403" t="str">
        <f>+'AG15.1'!I143</f>
        <v>NO</v>
      </c>
      <c r="C20" s="403"/>
      <c r="D20" s="403" t="s">
        <v>1087</v>
      </c>
    </row>
    <row r="21" spans="1:4" s="185" customFormat="1">
      <c r="A21" s="403" t="s">
        <v>1088</v>
      </c>
      <c r="B21" s="403" t="str">
        <f>+'AG15.1'!I150</f>
        <v>NO</v>
      </c>
      <c r="C21" s="403"/>
      <c r="D21" s="403" t="s">
        <v>1089</v>
      </c>
    </row>
    <row r="22" spans="1:4" s="185" customFormat="1">
      <c r="A22" s="403" t="s">
        <v>1090</v>
      </c>
      <c r="B22" s="403" t="str">
        <f>+'AG15.1'!I157</f>
        <v>NO</v>
      </c>
      <c r="C22" s="403"/>
      <c r="D22" s="403" t="s">
        <v>1091</v>
      </c>
    </row>
    <row r="23" spans="1:4" s="185" customFormat="1">
      <c r="A23" s="403" t="s">
        <v>1092</v>
      </c>
      <c r="B23" s="403" t="str">
        <f>+'AG15.1'!I164</f>
        <v>NO</v>
      </c>
      <c r="C23" s="403"/>
      <c r="D23" s="403" t="s">
        <v>1093</v>
      </c>
    </row>
    <row r="24" spans="1:4" s="185" customFormat="1">
      <c r="A24" s="403" t="s">
        <v>1094</v>
      </c>
      <c r="B24" s="403" t="str">
        <f>+'AG15.1'!I171</f>
        <v>NO</v>
      </c>
      <c r="C24" s="403"/>
      <c r="D24" s="403" t="s">
        <v>1095</v>
      </c>
    </row>
    <row r="25" spans="1:4" s="185" customFormat="1">
      <c r="A25" s="403" t="s">
        <v>1096</v>
      </c>
      <c r="B25" s="403" t="str">
        <f>+'AG15.1'!I178</f>
        <v>NO</v>
      </c>
      <c r="C25" s="403"/>
      <c r="D25" s="403" t="s">
        <v>1097</v>
      </c>
    </row>
    <row r="26" spans="1:4" s="185" customFormat="1">
      <c r="A26" s="403" t="s">
        <v>1098</v>
      </c>
      <c r="B26" s="403" t="str">
        <f>+'AG15.1'!I185</f>
        <v>NO</v>
      </c>
      <c r="C26" s="403"/>
      <c r="D26" s="403" t="s">
        <v>1099</v>
      </c>
    </row>
    <row r="27" spans="1:4" s="185" customFormat="1">
      <c r="A27" s="403" t="s">
        <v>1100</v>
      </c>
      <c r="B27" s="403" t="str">
        <f>+'AG15.1'!I192</f>
        <v>NO</v>
      </c>
      <c r="C27" s="403"/>
      <c r="D27" s="403" t="s">
        <v>1101</v>
      </c>
    </row>
    <row r="28" spans="1:4" s="185" customFormat="1">
      <c r="A28" s="403" t="s">
        <v>1102</v>
      </c>
      <c r="B28" s="403" t="str">
        <f>+'AG15.1'!I199</f>
        <v>NO</v>
      </c>
      <c r="C28" s="403"/>
      <c r="D28" s="403" t="s">
        <v>1103</v>
      </c>
    </row>
    <row r="29" spans="1:4" s="185" customFormat="1">
      <c r="A29" s="403" t="s">
        <v>1104</v>
      </c>
      <c r="B29" s="403" t="str">
        <f>+'AG15.1'!I206</f>
        <v>NO</v>
      </c>
      <c r="C29" s="403"/>
      <c r="D29" s="403" t="s">
        <v>1105</v>
      </c>
    </row>
    <row r="30" spans="1:4" s="185" customFormat="1">
      <c r="A30" s="403" t="s">
        <v>1106</v>
      </c>
      <c r="B30" s="403" t="str">
        <f>+'AG15.1'!I213</f>
        <v>NO</v>
      </c>
      <c r="C30" s="403"/>
      <c r="D30" s="403" t="s">
        <v>1107</v>
      </c>
    </row>
    <row r="31" spans="1:4" s="185" customFormat="1">
      <c r="A31" s="403" t="s">
        <v>1108</v>
      </c>
      <c r="B31" s="403" t="str">
        <f>+'AG15.1'!I220</f>
        <v>SI</v>
      </c>
      <c r="C31" s="403"/>
      <c r="D31" s="403" t="s">
        <v>1109</v>
      </c>
    </row>
    <row r="32" spans="1:4" s="185" customFormat="1">
      <c r="A32" s="403" t="s">
        <v>1110</v>
      </c>
      <c r="B32" s="403" t="str">
        <f>+'AG15.1'!I227</f>
        <v>SI</v>
      </c>
      <c r="C32" s="403"/>
      <c r="D32" s="403" t="s">
        <v>1111</v>
      </c>
    </row>
    <row r="33" spans="1:4" s="185" customFormat="1">
      <c r="A33" s="403" t="s">
        <v>1112</v>
      </c>
      <c r="B33" s="403" t="str">
        <f>+'AG15.1'!I234</f>
        <v>NO</v>
      </c>
      <c r="C33" s="403"/>
      <c r="D33" s="403" t="s">
        <v>1113</v>
      </c>
    </row>
    <row r="34" spans="1:4" s="185" customFormat="1">
      <c r="A34" s="403" t="s">
        <v>1114</v>
      </c>
      <c r="B34" s="403" t="str">
        <f>+'AG15.1'!I244</f>
        <v>SI</v>
      </c>
      <c r="C34" s="403"/>
      <c r="D34" s="403" t="s">
        <v>1115</v>
      </c>
    </row>
    <row r="35" spans="1:4" s="185" customFormat="1">
      <c r="A35" s="403" t="s">
        <v>1116</v>
      </c>
      <c r="B35" s="403" t="str">
        <f>+'AG15.1'!I251</f>
        <v>SI</v>
      </c>
      <c r="C35" s="403"/>
      <c r="D35" s="403" t="s">
        <v>1117</v>
      </c>
    </row>
    <row r="36" spans="1:4" s="185" customFormat="1">
      <c r="A36" s="403" t="s">
        <v>1118</v>
      </c>
      <c r="B36" s="403" t="str">
        <f>+'AG15.1'!I258</f>
        <v>NO</v>
      </c>
      <c r="C36" s="403"/>
      <c r="D36" s="403" t="s">
        <v>1119</v>
      </c>
    </row>
    <row r="37" spans="1:4" s="185" customFormat="1">
      <c r="A37" s="403" t="s">
        <v>1120</v>
      </c>
      <c r="B37" s="403" t="str">
        <f>+'AG15.1'!I265</f>
        <v>NO</v>
      </c>
      <c r="C37" s="403"/>
      <c r="D37" s="403" t="s">
        <v>1121</v>
      </c>
    </row>
    <row r="38" spans="1:4" s="185" customFormat="1">
      <c r="A38" s="403" t="s">
        <v>1122</v>
      </c>
      <c r="B38" s="403" t="str">
        <f>+'AG15.1'!I272</f>
        <v>NO</v>
      </c>
      <c r="C38" s="403"/>
      <c r="D38" s="403" t="s">
        <v>1123</v>
      </c>
    </row>
    <row r="39" spans="1:4" s="185" customFormat="1">
      <c r="A39" s="403" t="s">
        <v>1124</v>
      </c>
      <c r="B39" s="403" t="str">
        <f>+'AG15.1'!I279</f>
        <v>NO</v>
      </c>
      <c r="C39" s="403"/>
      <c r="D39" s="403" t="s">
        <v>1125</v>
      </c>
    </row>
    <row r="40" spans="1:4" s="185" customFormat="1">
      <c r="A40" s="403" t="s">
        <v>1126</v>
      </c>
      <c r="B40" s="403" t="str">
        <f>+'AG15.1'!I286</f>
        <v>NO</v>
      </c>
      <c r="C40" s="403"/>
      <c r="D40" s="403" t="s">
        <v>1127</v>
      </c>
    </row>
    <row r="41" spans="1:4" s="185" customFormat="1">
      <c r="A41" s="403" t="s">
        <v>1128</v>
      </c>
      <c r="B41" s="403" t="str">
        <f>+'AG15.1'!I293</f>
        <v>NO</v>
      </c>
      <c r="C41" s="403"/>
      <c r="D41" s="403" t="s">
        <v>1129</v>
      </c>
    </row>
    <row r="42" spans="1:4" s="185" customFormat="1">
      <c r="A42" s="403" t="s">
        <v>1130</v>
      </c>
      <c r="B42" s="403" t="str">
        <f>+'AG15.1'!I300</f>
        <v>NO</v>
      </c>
      <c r="C42" s="403"/>
      <c r="D42" s="403" t="s">
        <v>1131</v>
      </c>
    </row>
    <row r="43" spans="1:4" s="185" customFormat="1">
      <c r="A43" s="403" t="s">
        <v>1132</v>
      </c>
      <c r="B43" s="403" t="str">
        <f>+'AG15.1'!I312</f>
        <v>SI</v>
      </c>
      <c r="C43" s="403"/>
      <c r="D43" s="403" t="s">
        <v>1133</v>
      </c>
    </row>
    <row r="44" spans="1:4" s="185" customFormat="1">
      <c r="A44" s="403" t="s">
        <v>1134</v>
      </c>
      <c r="B44" s="403" t="str">
        <f>+'AG15.1'!I319</f>
        <v>SI</v>
      </c>
      <c r="C44" s="403"/>
      <c r="D44" s="403" t="s">
        <v>1135</v>
      </c>
    </row>
    <row r="45" spans="1:4" s="185" customFormat="1">
      <c r="A45" s="403" t="s">
        <v>1136</v>
      </c>
      <c r="B45" s="403" t="str">
        <f>+'AG15.1'!I326</f>
        <v>NO</v>
      </c>
      <c r="C45" s="403"/>
      <c r="D45" s="403" t="s">
        <v>1137</v>
      </c>
    </row>
    <row r="46" spans="1:4" s="185" customFormat="1">
      <c r="A46" s="403" t="s">
        <v>1138</v>
      </c>
      <c r="B46" s="403" t="str">
        <f>+'AG15.1'!I333</f>
        <v>NO</v>
      </c>
      <c r="C46" s="403"/>
      <c r="D46" s="403" t="s">
        <v>1139</v>
      </c>
    </row>
    <row r="47" spans="1:4" s="185" customFormat="1">
      <c r="A47" s="403" t="s">
        <v>1140</v>
      </c>
      <c r="B47" s="403" t="str">
        <f>+'AG15.1'!I340</f>
        <v>NO</v>
      </c>
      <c r="C47" s="403"/>
      <c r="D47" s="403" t="s">
        <v>1141</v>
      </c>
    </row>
    <row r="48" spans="1:4" s="185" customFormat="1">
      <c r="A48" s="403" t="s">
        <v>1142</v>
      </c>
      <c r="B48" s="403" t="str">
        <f>+'AG15.1'!I347</f>
        <v>NO</v>
      </c>
      <c r="C48" s="403"/>
      <c r="D48" s="403" t="s">
        <v>1143</v>
      </c>
    </row>
    <row r="49" spans="1:4">
      <c r="A49" s="403" t="s">
        <v>1144</v>
      </c>
      <c r="B49" s="403" t="str">
        <f>+'AG15.1'!I354</f>
        <v>NO</v>
      </c>
      <c r="C49" s="403"/>
      <c r="D49" s="403" t="s">
        <v>1145</v>
      </c>
    </row>
    <row r="50" spans="1:4">
      <c r="A50" s="403" t="s">
        <v>1146</v>
      </c>
      <c r="B50" s="403" t="str">
        <f>+'AG15.1'!I361</f>
        <v>NO</v>
      </c>
      <c r="C50" s="403"/>
      <c r="D50" s="403" t="s">
        <v>1147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
  <sheetViews>
    <sheetView workbookViewId="0"/>
  </sheetViews>
  <sheetFormatPr baseColWidth="10" defaultRowHeight="14.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58"/>
  <sheetViews>
    <sheetView showGridLines="0" tabSelected="1" zoomScaleNormal="100" workbookViewId="0">
      <selection activeCell="E28" sqref="E28"/>
    </sheetView>
  </sheetViews>
  <sheetFormatPr baseColWidth="10" defaultRowHeight="14.4"/>
  <cols>
    <col min="2" max="2" width="16" customWidth="1"/>
    <col min="4" max="4" width="12.5546875" customWidth="1"/>
    <col min="9" max="9" width="14.5546875" customWidth="1"/>
    <col min="10" max="10" width="13.5546875" customWidth="1"/>
  </cols>
  <sheetData>
    <row r="1" spans="1:10" ht="16.2" thickTop="1">
      <c r="A1" s="115" t="s">
        <v>0</v>
      </c>
      <c r="B1" s="483" t="s">
        <v>1359</v>
      </c>
      <c r="C1" s="484"/>
      <c r="D1" s="484"/>
      <c r="E1" s="484"/>
      <c r="F1" s="484"/>
      <c r="G1" s="484"/>
      <c r="H1" s="485"/>
      <c r="I1" s="4" t="s">
        <v>1</v>
      </c>
      <c r="J1" s="5" t="s">
        <v>2</v>
      </c>
    </row>
    <row r="2" spans="1:10" ht="15.75" customHeight="1">
      <c r="A2" s="486" t="s">
        <v>3</v>
      </c>
      <c r="B2" s="487"/>
      <c r="C2" s="488">
        <v>43343</v>
      </c>
      <c r="D2" s="488"/>
      <c r="E2" s="488"/>
      <c r="F2" s="488"/>
      <c r="G2" s="488"/>
      <c r="H2" s="489"/>
      <c r="I2" s="358" t="s">
        <v>1358</v>
      </c>
      <c r="J2" s="359" t="str">
        <f>+E!B4</f>
        <v>JCG</v>
      </c>
    </row>
    <row r="3" spans="1:10" ht="15" customHeight="1">
      <c r="A3" s="490" t="s">
        <v>4</v>
      </c>
      <c r="B3" s="491"/>
      <c r="C3" s="491"/>
      <c r="D3" s="491"/>
      <c r="E3" s="491"/>
      <c r="F3" s="491"/>
      <c r="G3" s="491"/>
      <c r="H3" s="491"/>
      <c r="I3" s="491"/>
      <c r="J3" s="492"/>
    </row>
    <row r="4" spans="1:10" ht="16.5" customHeight="1" thickBot="1">
      <c r="A4" s="493" t="s">
        <v>1042</v>
      </c>
      <c r="B4" s="494"/>
      <c r="C4" s="494"/>
      <c r="D4" s="494"/>
      <c r="E4" s="494"/>
      <c r="F4" s="494"/>
      <c r="G4" s="494"/>
      <c r="H4" s="495"/>
      <c r="I4" s="347" t="s">
        <v>5</v>
      </c>
      <c r="J4" s="346" t="s">
        <v>6</v>
      </c>
    </row>
    <row r="5" spans="1:10" ht="15.6" thickTop="1" thickBot="1">
      <c r="A5" s="10"/>
      <c r="B5" s="11"/>
      <c r="C5" s="11"/>
      <c r="D5" s="11"/>
      <c r="E5" s="10"/>
      <c r="F5" s="10"/>
      <c r="G5" s="10"/>
      <c r="H5" s="10"/>
      <c r="I5" s="10"/>
      <c r="J5" s="10"/>
    </row>
    <row r="6" spans="1:10" ht="15" customHeight="1" thickBot="1">
      <c r="A6" s="12"/>
      <c r="B6" s="11"/>
      <c r="C6" s="11"/>
      <c r="D6" s="360"/>
      <c r="E6" s="10"/>
      <c r="F6" s="10"/>
      <c r="G6" s="10"/>
      <c r="H6" s="10"/>
      <c r="I6" s="481" t="s">
        <v>1170</v>
      </c>
      <c r="J6" s="482"/>
    </row>
    <row r="7" spans="1:10" ht="15.6">
      <c r="A7" s="361" t="s">
        <v>1148</v>
      </c>
      <c r="B7" s="357"/>
      <c r="C7" s="357"/>
      <c r="D7" s="357"/>
      <c r="E7" s="357"/>
      <c r="F7" s="361"/>
      <c r="G7" s="357"/>
      <c r="H7" s="357"/>
      <c r="I7" s="357"/>
      <c r="J7" s="357"/>
    </row>
    <row r="8" spans="1:10" ht="15.6">
      <c r="A8" s="362"/>
      <c r="B8" s="357"/>
      <c r="C8" s="357"/>
      <c r="D8" s="357"/>
      <c r="E8" s="357"/>
      <c r="F8" s="357"/>
      <c r="G8" s="357"/>
      <c r="H8" s="357"/>
      <c r="I8" s="357"/>
      <c r="J8" s="357"/>
    </row>
    <row r="9" spans="1:10" ht="15.6">
      <c r="A9" s="362"/>
      <c r="B9" s="357"/>
      <c r="C9" s="357"/>
      <c r="D9" s="357"/>
      <c r="E9" s="357"/>
      <c r="F9" s="357"/>
      <c r="G9" s="357"/>
      <c r="H9" s="357"/>
      <c r="I9" s="357"/>
      <c r="J9" s="357"/>
    </row>
    <row r="10" spans="1:10" ht="15.6">
      <c r="A10" s="361" t="s">
        <v>949</v>
      </c>
      <c r="B10" s="357"/>
      <c r="C10" s="357"/>
      <c r="D10" s="357"/>
      <c r="E10" s="357"/>
      <c r="F10" s="357"/>
      <c r="G10" s="357"/>
      <c r="H10" s="357"/>
      <c r="I10" s="357"/>
      <c r="J10" s="357"/>
    </row>
    <row r="11" spans="1:10" ht="15.6">
      <c r="A11" s="362"/>
      <c r="B11" s="357"/>
      <c r="C11" s="357"/>
      <c r="D11" s="357"/>
      <c r="E11" s="357"/>
      <c r="F11" s="357"/>
      <c r="G11" s="357"/>
      <c r="H11" s="357"/>
      <c r="I11" s="357"/>
      <c r="J11" s="357"/>
    </row>
    <row r="12" spans="1:10" ht="15" customHeight="1">
      <c r="A12" s="470" t="s">
        <v>950</v>
      </c>
      <c r="B12" s="470"/>
      <c r="C12" s="470"/>
      <c r="D12" s="470"/>
      <c r="E12" s="470"/>
      <c r="F12" s="470"/>
      <c r="G12" s="470"/>
      <c r="H12" s="470"/>
      <c r="I12" s="470"/>
      <c r="J12" s="470"/>
    </row>
    <row r="13" spans="1:10" ht="33.75" customHeight="1">
      <c r="A13" s="470"/>
      <c r="B13" s="470"/>
      <c r="C13" s="470"/>
      <c r="D13" s="470"/>
      <c r="E13" s="470"/>
      <c r="F13" s="470"/>
      <c r="G13" s="470"/>
      <c r="H13" s="470"/>
      <c r="I13" s="470"/>
      <c r="J13" s="470"/>
    </row>
    <row r="14" spans="1:10" ht="15.6">
      <c r="A14" s="363"/>
      <c r="B14" s="363"/>
      <c r="C14" s="363"/>
      <c r="D14" s="363"/>
      <c r="E14" s="363"/>
      <c r="F14" s="363"/>
      <c r="G14" s="363"/>
      <c r="H14" s="363"/>
      <c r="I14" s="363"/>
      <c r="J14" s="363"/>
    </row>
    <row r="15" spans="1:10" ht="15" customHeight="1">
      <c r="A15" s="470" t="s">
        <v>1043</v>
      </c>
      <c r="B15" s="470"/>
      <c r="C15" s="470"/>
      <c r="D15" s="470"/>
      <c r="E15" s="470"/>
      <c r="F15" s="470"/>
      <c r="G15" s="470"/>
      <c r="H15" s="470"/>
      <c r="I15" s="470"/>
      <c r="J15" s="470"/>
    </row>
    <row r="16" spans="1:10" ht="15" customHeight="1">
      <c r="A16" s="470"/>
      <c r="B16" s="470"/>
      <c r="C16" s="470"/>
      <c r="D16" s="470"/>
      <c r="E16" s="470"/>
      <c r="F16" s="470"/>
      <c r="G16" s="470"/>
      <c r="H16" s="470"/>
      <c r="I16" s="470"/>
      <c r="J16" s="470"/>
    </row>
    <row r="17" spans="1:10" ht="15" customHeight="1">
      <c r="A17" s="470"/>
      <c r="B17" s="470"/>
      <c r="C17" s="470"/>
      <c r="D17" s="470"/>
      <c r="E17" s="470"/>
      <c r="F17" s="470"/>
      <c r="G17" s="470"/>
      <c r="H17" s="470"/>
      <c r="I17" s="470"/>
      <c r="J17" s="470"/>
    </row>
    <row r="18" spans="1:10" ht="15.6">
      <c r="A18" s="364"/>
      <c r="B18" s="365"/>
      <c r="C18" s="365"/>
      <c r="D18" s="365"/>
      <c r="E18" s="364"/>
      <c r="F18" s="364"/>
      <c r="G18" s="364"/>
      <c r="H18" s="364"/>
      <c r="I18" s="364"/>
      <c r="J18" s="364"/>
    </row>
    <row r="19" spans="1:10" ht="15.6">
      <c r="A19" s="471" t="s">
        <v>951</v>
      </c>
      <c r="B19" s="471"/>
      <c r="C19" s="471"/>
      <c r="D19" s="471"/>
      <c r="E19" s="471"/>
      <c r="F19" s="471"/>
      <c r="G19" s="471"/>
      <c r="H19" s="471"/>
      <c r="I19" s="471"/>
      <c r="J19" s="471"/>
    </row>
    <row r="20" spans="1:10" ht="15.6">
      <c r="A20" s="366"/>
      <c r="B20" s="357"/>
      <c r="C20" s="357"/>
      <c r="D20" s="357"/>
      <c r="E20" s="357"/>
      <c r="F20" s="357"/>
      <c r="G20" s="357"/>
      <c r="H20" s="357"/>
      <c r="I20" s="357"/>
      <c r="J20" s="357"/>
    </row>
    <row r="21" spans="1:10" ht="15.6">
      <c r="A21" s="367" t="s">
        <v>952</v>
      </c>
      <c r="B21" s="357"/>
      <c r="C21" s="357"/>
      <c r="D21" s="357"/>
      <c r="E21" s="357"/>
      <c r="F21" s="357"/>
      <c r="G21" s="357"/>
      <c r="H21" s="357"/>
      <c r="I21" s="357"/>
      <c r="J21" s="357"/>
    </row>
    <row r="22" spans="1:10">
      <c r="A22" s="355"/>
      <c r="B22" s="355"/>
      <c r="C22" s="355"/>
      <c r="D22" s="355"/>
      <c r="E22" s="355"/>
      <c r="F22" s="355"/>
      <c r="G22" s="355"/>
      <c r="H22" s="355"/>
      <c r="I22" s="355"/>
      <c r="J22" s="355"/>
    </row>
    <row r="23" spans="1:10" ht="15.6">
      <c r="A23" s="368" t="s">
        <v>953</v>
      </c>
      <c r="B23" s="369"/>
      <c r="C23" s="369"/>
      <c r="D23" s="369"/>
      <c r="E23" s="368"/>
      <c r="F23" s="368"/>
      <c r="G23" s="368"/>
      <c r="H23" s="368"/>
      <c r="I23" s="354" t="str">
        <f>IF(E!B461=TRUE,"RIESGO DE FRAUDE","")</f>
        <v/>
      </c>
      <c r="J23" s="368"/>
    </row>
    <row r="24" spans="1:10" ht="15.6">
      <c r="A24" s="370"/>
      <c r="B24" s="357"/>
      <c r="C24" s="357"/>
      <c r="D24" s="357"/>
      <c r="E24" s="357"/>
      <c r="F24" s="357"/>
      <c r="G24" s="357"/>
      <c r="H24" s="357"/>
      <c r="I24" s="391" t="str">
        <f>IF(A25=$A$496,"NO",IF(A25=$A$498,"NO","SI"))</f>
        <v>NO</v>
      </c>
      <c r="J24" s="357"/>
    </row>
    <row r="25" spans="1:10">
      <c r="A25" s="1" t="str">
        <f>IF(I23="RIESGO DE FRAUDE",$A$495,IF(ABS(C28)&gt;E28,$A$497,IF(ABS(D28)&gt;E28,$A$499,IF(B28+C28=0,$A$496,$A$498))))</f>
        <v>AREA POCO RELEVANTE. NO APLICAR PROCEDIMIENTOS DE AUDITORIA</v>
      </c>
      <c r="B25" s="1"/>
      <c r="C25" s="1"/>
      <c r="D25" s="1"/>
      <c r="E25" s="1"/>
      <c r="F25" s="1"/>
      <c r="G25" s="1"/>
      <c r="H25" s="1"/>
      <c r="I25" s="1"/>
      <c r="J25" s="1"/>
    </row>
    <row r="26" spans="1:10">
      <c r="A26" s="2"/>
      <c r="B26" s="371"/>
      <c r="C26" s="371"/>
      <c r="D26" s="2"/>
      <c r="E26" s="2"/>
      <c r="F26" s="2"/>
      <c r="G26" s="2"/>
      <c r="H26" s="2"/>
      <c r="I26" s="2"/>
      <c r="J26" s="2"/>
    </row>
    <row r="27" spans="1:10">
      <c r="A27" s="2"/>
      <c r="B27" s="372" t="s">
        <v>955</v>
      </c>
      <c r="C27" s="372" t="s">
        <v>956</v>
      </c>
      <c r="D27" s="372" t="s">
        <v>957</v>
      </c>
      <c r="E27" s="373" t="s">
        <v>958</v>
      </c>
      <c r="F27" s="2"/>
      <c r="G27" s="2"/>
      <c r="H27" s="2"/>
      <c r="I27" s="2"/>
      <c r="J27" s="2"/>
    </row>
    <row r="28" spans="1:10">
      <c r="A28" s="374"/>
      <c r="B28" s="375">
        <f>+'AG15.1.1'!K21</f>
        <v>18355.010000000002</v>
      </c>
      <c r="C28" s="375">
        <f>+'AG15.1.1'!I21</f>
        <v>14961.810000000001</v>
      </c>
      <c r="D28" s="376">
        <f>+C28-B28</f>
        <v>-3393.2000000000007</v>
      </c>
      <c r="E28" s="348">
        <f>+E!$B$6*E!$B$8</f>
        <v>159798.5202</v>
      </c>
      <c r="F28" s="357"/>
      <c r="G28" s="357"/>
      <c r="H28" s="357"/>
      <c r="I28" s="357"/>
      <c r="J28" s="357"/>
    </row>
    <row r="29" spans="1:10" ht="15.6">
      <c r="A29" s="370"/>
      <c r="B29" s="357"/>
      <c r="C29" s="357"/>
      <c r="D29" s="357"/>
      <c r="E29" s="357"/>
      <c r="F29" s="357"/>
      <c r="G29" s="357"/>
      <c r="H29" s="357"/>
      <c r="I29" s="357"/>
      <c r="J29" s="357"/>
    </row>
    <row r="30" spans="1:10" ht="15.6">
      <c r="A30" s="368" t="s">
        <v>959</v>
      </c>
      <c r="B30" s="369"/>
      <c r="C30" s="369"/>
      <c r="D30" s="369"/>
      <c r="E30" s="368"/>
      <c r="F30" s="368"/>
      <c r="G30" s="368"/>
      <c r="H30" s="368"/>
      <c r="I30" s="354" t="str">
        <f>IF(E!B462=TRUE,"RIESGO DE FRAUDE","")</f>
        <v/>
      </c>
      <c r="J30" s="368"/>
    </row>
    <row r="31" spans="1:10" ht="15.6">
      <c r="A31" s="370"/>
      <c r="B31" s="357"/>
      <c r="C31" s="357"/>
      <c r="D31" s="357"/>
      <c r="E31" s="357"/>
      <c r="F31" s="357"/>
      <c r="G31" s="357"/>
      <c r="H31" s="357"/>
      <c r="I31" s="392" t="str">
        <f>IF(A32=$A$496,"NO",IF(A32=$A$498,"NO","SI"))</f>
        <v>SI</v>
      </c>
      <c r="J31" s="357"/>
    </row>
    <row r="32" spans="1:10">
      <c r="A32" s="1" t="str">
        <f>IF(I30="RIESGO DE FRAUDE",$A$495,IF(ABS(C35)&gt;E35,$A$497,IF(ABS(D35)&gt;E35,$A$499,IF(B35+C35=0,$A$496,$A$498))))</f>
        <v>APLICAR PROCEDIMIENTOS DE CONTROL PARA ESTA AREA; EL SALDO SUPERA EL NIVEL DE PRECISION</v>
      </c>
      <c r="B32" s="1"/>
      <c r="C32" s="1"/>
      <c r="D32" s="1"/>
      <c r="E32" s="1"/>
      <c r="F32" s="1"/>
      <c r="G32" s="1"/>
      <c r="H32" s="1"/>
      <c r="I32" s="1"/>
      <c r="J32" s="1"/>
    </row>
    <row r="33" spans="1:10">
      <c r="A33" s="2"/>
      <c r="B33" s="371"/>
      <c r="C33" s="371"/>
      <c r="D33" s="371"/>
      <c r="E33" s="2"/>
      <c r="F33" s="2"/>
      <c r="G33" s="2"/>
      <c r="H33" s="2"/>
      <c r="I33" s="2"/>
      <c r="J33" s="2"/>
    </row>
    <row r="34" spans="1:10">
      <c r="A34" s="2"/>
      <c r="B34" s="372" t="s">
        <v>955</v>
      </c>
      <c r="C34" s="372" t="s">
        <v>956</v>
      </c>
      <c r="D34" s="372" t="s">
        <v>957</v>
      </c>
      <c r="E34" s="373" t="s">
        <v>958</v>
      </c>
      <c r="F34" s="2"/>
      <c r="G34" s="2"/>
      <c r="H34" s="2"/>
      <c r="I34" s="2"/>
      <c r="J34" s="2"/>
    </row>
    <row r="35" spans="1:10">
      <c r="A35" s="374"/>
      <c r="B35" s="375">
        <f>+'AG15.1.1'!K31</f>
        <v>357073.83999999997</v>
      </c>
      <c r="C35" s="375">
        <f>+'AG15.1.1'!I31</f>
        <v>422091.72</v>
      </c>
      <c r="D35" s="376">
        <f>+C35-B35</f>
        <v>65017.880000000005</v>
      </c>
      <c r="E35" s="348">
        <f>+E!$B$6*E!$B$8</f>
        <v>159798.5202</v>
      </c>
      <c r="F35" s="357"/>
      <c r="G35" s="357"/>
      <c r="H35" s="357"/>
      <c r="I35" s="357"/>
      <c r="J35" s="357"/>
    </row>
    <row r="36" spans="1:10" ht="15.6">
      <c r="A36" s="370"/>
      <c r="B36" s="357"/>
      <c r="C36" s="357"/>
      <c r="D36" s="357"/>
      <c r="E36" s="357"/>
      <c r="F36" s="357"/>
      <c r="G36" s="357"/>
      <c r="H36" s="357"/>
      <c r="I36" s="357"/>
      <c r="J36" s="357"/>
    </row>
    <row r="37" spans="1:10" ht="15.6">
      <c r="A37" s="368" t="s">
        <v>960</v>
      </c>
      <c r="B37" s="369"/>
      <c r="C37" s="369"/>
      <c r="D37" s="369"/>
      <c r="E37" s="368"/>
      <c r="F37" s="368"/>
      <c r="G37" s="368"/>
      <c r="H37" s="368"/>
      <c r="I37" s="354" t="str">
        <f>IF(E!B463=TRUE,"RIESGO DE FRAUDE","")</f>
        <v/>
      </c>
      <c r="J37" s="368"/>
    </row>
    <row r="38" spans="1:10" ht="15.6">
      <c r="A38" s="370"/>
      <c r="B38" s="357"/>
      <c r="C38" s="357"/>
      <c r="D38" s="357"/>
      <c r="E38" s="357"/>
      <c r="F38" s="357"/>
      <c r="G38" s="357"/>
      <c r="H38" s="357"/>
      <c r="I38" s="392" t="str">
        <f>IF(A39=$A$496,"NO",IF(A39=$A$498,"NO","SI"))</f>
        <v>NO</v>
      </c>
      <c r="J38" s="357"/>
    </row>
    <row r="39" spans="1:10">
      <c r="A39" s="1" t="str">
        <f>IF(I37="RIESGO DE FRAUDE",$A$495,IF(ABS(C42)&gt;E42,$A$497,IF(ABS(D42)&gt;E42,$A$499,IF(B42+C42=0,$A$496,$A$498))))</f>
        <v>NO APLICABLE</v>
      </c>
      <c r="B39" s="1"/>
      <c r="C39" s="1"/>
      <c r="D39" s="1"/>
      <c r="E39" s="1"/>
      <c r="F39" s="1"/>
      <c r="G39" s="1"/>
      <c r="H39" s="1"/>
      <c r="I39" s="1"/>
      <c r="J39" s="1"/>
    </row>
    <row r="40" spans="1:10">
      <c r="A40" s="2"/>
      <c r="B40" s="371"/>
      <c r="C40" s="371"/>
      <c r="D40" s="371"/>
      <c r="E40" s="2"/>
      <c r="F40" s="2"/>
      <c r="G40" s="2"/>
      <c r="H40" s="2"/>
      <c r="I40" s="2"/>
      <c r="J40" s="2"/>
    </row>
    <row r="41" spans="1:10">
      <c r="A41" s="374"/>
      <c r="B41" s="372" t="s">
        <v>955</v>
      </c>
      <c r="C41" s="372" t="s">
        <v>956</v>
      </c>
      <c r="D41" s="372" t="s">
        <v>957</v>
      </c>
      <c r="E41" s="373" t="s">
        <v>958</v>
      </c>
      <c r="F41" s="357"/>
      <c r="G41" s="357"/>
      <c r="H41" s="357"/>
      <c r="I41" s="357"/>
      <c r="J41" s="357"/>
    </row>
    <row r="42" spans="1:10">
      <c r="A42" s="374"/>
      <c r="B42" s="375">
        <f>+'AG15.1.1'!K35</f>
        <v>0</v>
      </c>
      <c r="C42" s="375">
        <f>+'AG15.1.1'!I35</f>
        <v>0</v>
      </c>
      <c r="D42" s="376">
        <f>+C42-B42</f>
        <v>0</v>
      </c>
      <c r="E42" s="348">
        <f>+E!$B$6*E!$B$8</f>
        <v>159798.5202</v>
      </c>
      <c r="F42" s="357"/>
      <c r="G42" s="357"/>
      <c r="H42" s="357"/>
      <c r="I42" s="357"/>
      <c r="J42" s="357"/>
    </row>
    <row r="43" spans="1:10" ht="15.6">
      <c r="A43" s="370"/>
      <c r="B43" s="357"/>
      <c r="C43" s="357"/>
      <c r="D43" s="357"/>
      <c r="E43" s="357"/>
      <c r="F43" s="357"/>
      <c r="G43" s="357"/>
      <c r="H43" s="357"/>
      <c r="I43" s="357"/>
      <c r="J43" s="357"/>
    </row>
    <row r="44" spans="1:10" ht="15.6">
      <c r="A44" s="368" t="s">
        <v>961</v>
      </c>
      <c r="B44" s="369"/>
      <c r="C44" s="369"/>
      <c r="D44" s="369"/>
      <c r="E44" s="368"/>
      <c r="F44" s="368"/>
      <c r="G44" s="368"/>
      <c r="H44" s="368"/>
      <c r="I44" s="354" t="str">
        <f>IF(E!B464=TRUE,"RIESGO DE FRAUDE","")</f>
        <v/>
      </c>
      <c r="J44" s="368"/>
    </row>
    <row r="45" spans="1:10" ht="15.6">
      <c r="A45" s="370"/>
      <c r="B45" s="357"/>
      <c r="C45" s="357"/>
      <c r="D45" s="357"/>
      <c r="E45" s="357"/>
      <c r="F45" s="357"/>
      <c r="G45" s="357"/>
      <c r="H45" s="357"/>
      <c r="I45" s="392" t="str">
        <f>IF(A46=$A$496,"NO",IF(A46=$A$498,"NO","SI"))</f>
        <v>NO</v>
      </c>
      <c r="J45" s="357"/>
    </row>
    <row r="46" spans="1:10">
      <c r="A46" s="1" t="str">
        <f>IF(I44="RIESGO DE FRAUDE",$A$495,IF(ABS(C49)&gt;E49,$A$497,IF(ABS(D49)&gt;E49,$A$499,IF(B49+C49=0,$A$496,$A$498))))</f>
        <v>NO APLICABLE</v>
      </c>
      <c r="B46" s="1"/>
      <c r="C46" s="1"/>
      <c r="D46" s="1"/>
      <c r="E46" s="1"/>
      <c r="F46" s="1"/>
      <c r="G46" s="1"/>
      <c r="H46" s="1"/>
      <c r="I46" s="1"/>
      <c r="J46" s="1"/>
    </row>
    <row r="47" spans="1:10">
      <c r="A47" s="2"/>
      <c r="B47" s="371"/>
      <c r="C47" s="371"/>
      <c r="D47" s="371"/>
      <c r="E47" s="2"/>
      <c r="F47" s="2"/>
      <c r="G47" s="2"/>
      <c r="H47" s="2"/>
      <c r="I47" s="2"/>
      <c r="J47" s="2"/>
    </row>
    <row r="48" spans="1:10">
      <c r="A48" s="2"/>
      <c r="B48" s="372" t="s">
        <v>955</v>
      </c>
      <c r="C48" s="372" t="s">
        <v>956</v>
      </c>
      <c r="D48" s="372" t="s">
        <v>957</v>
      </c>
      <c r="E48" s="373" t="s">
        <v>958</v>
      </c>
      <c r="F48" s="2"/>
      <c r="G48" s="2"/>
      <c r="H48" s="2"/>
      <c r="I48" s="2"/>
      <c r="J48" s="2"/>
    </row>
    <row r="49" spans="1:10">
      <c r="A49" s="374"/>
      <c r="B49" s="375">
        <f>+'AG15.1.1'!K38</f>
        <v>0</v>
      </c>
      <c r="C49" s="375">
        <f>+'AG15.1.1'!I38</f>
        <v>0</v>
      </c>
      <c r="D49" s="376">
        <f>+C49-B49</f>
        <v>0</v>
      </c>
      <c r="E49" s="348">
        <f>+E!$B$6*E!$B$8</f>
        <v>159798.5202</v>
      </c>
      <c r="F49" s="357"/>
      <c r="G49" s="357"/>
      <c r="H49" s="357"/>
      <c r="I49" s="357"/>
      <c r="J49" s="357"/>
    </row>
    <row r="50" spans="1:10" ht="15.6">
      <c r="A50" s="370"/>
      <c r="B50" s="357"/>
      <c r="C50" s="357"/>
      <c r="D50" s="357"/>
      <c r="E50" s="357"/>
      <c r="F50" s="357"/>
      <c r="G50" s="357"/>
      <c r="H50" s="357"/>
      <c r="I50" s="357"/>
      <c r="J50" s="357"/>
    </row>
    <row r="51" spans="1:10" ht="15.6">
      <c r="A51" s="368" t="s">
        <v>962</v>
      </c>
      <c r="B51" s="369"/>
      <c r="C51" s="369"/>
      <c r="D51" s="369"/>
      <c r="E51" s="368"/>
      <c r="F51" s="368"/>
      <c r="G51" s="368"/>
      <c r="H51" s="368"/>
      <c r="I51" s="354" t="str">
        <f>IF(E!B465=TRUE,"RIESGO DE FRAUDE","")</f>
        <v/>
      </c>
      <c r="J51" s="368"/>
    </row>
    <row r="52" spans="1:10" ht="15.6">
      <c r="A52" s="370"/>
      <c r="B52" s="357"/>
      <c r="C52" s="357"/>
      <c r="D52" s="357"/>
      <c r="E52" s="357"/>
      <c r="F52" s="357"/>
      <c r="G52" s="357"/>
      <c r="H52" s="357"/>
      <c r="I52" s="392" t="str">
        <f>IF(A53=$A$496,"NO",IF(A53=$A$498,"NO","SI"))</f>
        <v>SI</v>
      </c>
      <c r="J52" s="357"/>
    </row>
    <row r="53" spans="1:10">
      <c r="A53" s="1" t="str">
        <f>IF(I51="RIESGO DE FRAUDE",$A$495,IF(ABS(C56)&gt;E56,$A$497,IF(ABS(D56)&gt;E56,$A$499,IF(B56+C56=0,$A$496,$A$498))))</f>
        <v>APLICAR PROCEDIMIENTOS DE CONTROL PARA ESTA AREA; EL SALDO SUPERA EL NIVEL DE PRECISION</v>
      </c>
      <c r="B53" s="1"/>
      <c r="C53" s="1"/>
      <c r="D53" s="1"/>
      <c r="E53" s="1"/>
      <c r="F53" s="1"/>
      <c r="G53" s="1"/>
      <c r="H53" s="1"/>
      <c r="I53" s="1"/>
      <c r="J53" s="1"/>
    </row>
    <row r="54" spans="1:10">
      <c r="A54" s="2"/>
      <c r="B54" s="371"/>
      <c r="C54" s="371"/>
      <c r="D54" s="371"/>
      <c r="E54" s="2"/>
      <c r="F54" s="2"/>
      <c r="G54" s="2"/>
      <c r="H54" s="2"/>
      <c r="I54" s="2"/>
      <c r="J54" s="2"/>
    </row>
    <row r="55" spans="1:10">
      <c r="A55" s="2"/>
      <c r="B55" s="372" t="s">
        <v>955</v>
      </c>
      <c r="C55" s="372" t="s">
        <v>956</v>
      </c>
      <c r="D55" s="372" t="s">
        <v>957</v>
      </c>
      <c r="E55" s="373" t="s">
        <v>958</v>
      </c>
      <c r="F55" s="2"/>
      <c r="G55" s="2"/>
      <c r="H55" s="2"/>
      <c r="I55" s="2"/>
      <c r="J55" s="2"/>
    </row>
    <row r="56" spans="1:10">
      <c r="A56" s="374"/>
      <c r="B56" s="375">
        <f>+'AG15.1.1'!K45</f>
        <v>794719.68</v>
      </c>
      <c r="C56" s="375">
        <f>+'AG15.1.1'!I45</f>
        <v>794719.68</v>
      </c>
      <c r="D56" s="376">
        <f>+C56-B56</f>
        <v>0</v>
      </c>
      <c r="E56" s="348">
        <f>+E!$B$6*E!$B$8</f>
        <v>159798.5202</v>
      </c>
      <c r="F56" s="357"/>
      <c r="G56" s="357"/>
      <c r="H56" s="357"/>
      <c r="I56" s="357"/>
      <c r="J56" s="357"/>
    </row>
    <row r="57" spans="1:10" ht="15.6">
      <c r="A57" s="370"/>
      <c r="B57" s="357"/>
      <c r="C57" s="357"/>
      <c r="D57" s="357"/>
      <c r="E57" s="357"/>
      <c r="F57" s="357"/>
      <c r="G57" s="357"/>
      <c r="H57" s="357"/>
      <c r="I57" s="357"/>
      <c r="J57" s="357"/>
    </row>
    <row r="58" spans="1:10" ht="15.6">
      <c r="A58" s="368" t="s">
        <v>963</v>
      </c>
      <c r="B58" s="369"/>
      <c r="C58" s="369"/>
      <c r="D58" s="369"/>
      <c r="E58" s="368"/>
      <c r="F58" s="368"/>
      <c r="G58" s="368"/>
      <c r="H58" s="368"/>
      <c r="I58" s="354" t="str">
        <f>IF(E!B466=TRUE,"RIESGO DE FRAUDE","")</f>
        <v/>
      </c>
      <c r="J58" s="368"/>
    </row>
    <row r="59" spans="1:10" ht="15.6">
      <c r="A59" s="370"/>
      <c r="B59" s="357"/>
      <c r="C59" s="357"/>
      <c r="D59" s="357"/>
      <c r="E59" s="357"/>
      <c r="F59" s="357"/>
      <c r="G59" s="357"/>
      <c r="H59" s="357"/>
      <c r="I59" s="392" t="str">
        <f>IF(A60=$A$496,"NO",IF(A60=$A$498,"NO","SI"))</f>
        <v>NO</v>
      </c>
      <c r="J59" s="357"/>
    </row>
    <row r="60" spans="1:10">
      <c r="A60" s="1" t="str">
        <f>IF(I58="RIESGO DE FRAUDE",$A$495,IF(ABS(C63)&gt;E63,$A$497,IF(ABS(D63)&gt;E63,$A$499,IF(B63+C63=0,$A$496,$A$498))))</f>
        <v>NO APLICABLE</v>
      </c>
      <c r="B60" s="1"/>
      <c r="C60" s="1"/>
      <c r="D60" s="1"/>
      <c r="E60" s="1"/>
      <c r="F60" s="1"/>
      <c r="G60" s="1"/>
      <c r="H60" s="1"/>
      <c r="I60" s="1"/>
      <c r="J60" s="1"/>
    </row>
    <row r="61" spans="1:10">
      <c r="A61" s="2"/>
      <c r="B61" s="371"/>
      <c r="C61" s="371"/>
      <c r="D61" s="371"/>
      <c r="E61" s="2"/>
      <c r="F61" s="2"/>
      <c r="G61" s="2"/>
      <c r="H61" s="2"/>
      <c r="I61" s="2"/>
      <c r="J61" s="2"/>
    </row>
    <row r="62" spans="1:10">
      <c r="A62" s="2"/>
      <c r="B62" s="372" t="s">
        <v>955</v>
      </c>
      <c r="C62" s="372" t="s">
        <v>956</v>
      </c>
      <c r="D62" s="372" t="s">
        <v>957</v>
      </c>
      <c r="E62" s="373" t="s">
        <v>958</v>
      </c>
      <c r="F62" s="2"/>
      <c r="G62" s="2"/>
      <c r="H62" s="2"/>
      <c r="I62" s="2"/>
      <c r="J62" s="2"/>
    </row>
    <row r="63" spans="1:10">
      <c r="A63" s="374"/>
      <c r="B63" s="375">
        <f>+'AG15.1.1'!K52</f>
        <v>0</v>
      </c>
      <c r="C63" s="375">
        <f>+'AG15.1.1'!I52</f>
        <v>0</v>
      </c>
      <c r="D63" s="376">
        <f>+C63-B63</f>
        <v>0</v>
      </c>
      <c r="E63" s="348">
        <f>+E!$B$6*E!$B$8</f>
        <v>159798.5202</v>
      </c>
      <c r="F63" s="357"/>
      <c r="G63" s="357"/>
      <c r="H63" s="357"/>
      <c r="I63" s="357"/>
      <c r="J63" s="357"/>
    </row>
    <row r="64" spans="1:10" ht="15.6">
      <c r="A64" s="370"/>
      <c r="B64" s="357"/>
      <c r="C64" s="357"/>
      <c r="D64" s="357"/>
      <c r="E64" s="357"/>
      <c r="F64" s="357"/>
      <c r="G64" s="357"/>
      <c r="H64" s="357"/>
      <c r="I64" s="357"/>
      <c r="J64" s="357"/>
    </row>
    <row r="65" spans="1:10" ht="15.6">
      <c r="A65" s="368" t="s">
        <v>964</v>
      </c>
      <c r="B65" s="369"/>
      <c r="C65" s="369"/>
      <c r="D65" s="369"/>
      <c r="E65" s="368"/>
      <c r="F65" s="368"/>
      <c r="G65" s="368"/>
      <c r="H65" s="368"/>
      <c r="I65" s="354" t="str">
        <f>IF(E!B467=TRUE,"RIESGO DE FRAUDE","")</f>
        <v/>
      </c>
      <c r="J65" s="368"/>
    </row>
    <row r="66" spans="1:10" ht="15.6">
      <c r="A66" s="370"/>
      <c r="B66" s="357"/>
      <c r="C66" s="357"/>
      <c r="D66" s="357"/>
      <c r="E66" s="357"/>
      <c r="F66" s="357"/>
      <c r="G66" s="357"/>
      <c r="H66" s="357"/>
      <c r="I66" s="392" t="str">
        <f>IF(A67=$A$496,"NO",IF(A67=$A$498,"NO","SI"))</f>
        <v>NO</v>
      </c>
      <c r="J66" s="357"/>
    </row>
    <row r="67" spans="1:10">
      <c r="A67" s="1" t="str">
        <f>IF(I65="RIESGO DE FRAUDE",$A$495,IF(ABS(C70)&gt;E70,$A$497,IF(ABS(D70)&gt;E70,$A$499,IF(B70+C70=0,$A$496,$A$498))))</f>
        <v>NO APLICABLE</v>
      </c>
      <c r="B67" s="1"/>
      <c r="C67" s="1"/>
      <c r="D67" s="1"/>
      <c r="E67" s="1"/>
      <c r="F67" s="1"/>
      <c r="G67" s="1"/>
      <c r="H67" s="1"/>
      <c r="I67" s="1"/>
      <c r="J67" s="1"/>
    </row>
    <row r="68" spans="1:10">
      <c r="A68" s="2"/>
      <c r="B68" s="371"/>
      <c r="C68" s="371"/>
      <c r="D68" s="371"/>
      <c r="E68" s="2"/>
      <c r="F68" s="2"/>
      <c r="G68" s="2"/>
      <c r="H68" s="2"/>
      <c r="I68" s="2"/>
      <c r="J68" s="2"/>
    </row>
    <row r="69" spans="1:10">
      <c r="A69" s="2"/>
      <c r="B69" s="372" t="s">
        <v>955</v>
      </c>
      <c r="C69" s="372" t="s">
        <v>956</v>
      </c>
      <c r="D69" s="372" t="s">
        <v>957</v>
      </c>
      <c r="E69" s="373" t="s">
        <v>958</v>
      </c>
      <c r="F69" s="2"/>
      <c r="G69" s="2"/>
      <c r="H69" s="2"/>
      <c r="I69" s="2"/>
      <c r="J69" s="2"/>
    </row>
    <row r="70" spans="1:10">
      <c r="A70" s="374"/>
      <c r="B70" s="375">
        <f>+'AG15.1.1'!K53</f>
        <v>0</v>
      </c>
      <c r="C70" s="375">
        <f>+'AG15.1.1'!I53</f>
        <v>0</v>
      </c>
      <c r="D70" s="376">
        <f>+C70-B70</f>
        <v>0</v>
      </c>
      <c r="E70" s="348">
        <f>+E!$B$6*E!$B$8</f>
        <v>159798.5202</v>
      </c>
      <c r="F70" s="357"/>
      <c r="G70" s="357"/>
      <c r="H70" s="357"/>
      <c r="I70" s="357"/>
      <c r="J70" s="357"/>
    </row>
    <row r="71" spans="1:10" ht="15.6">
      <c r="A71" s="370"/>
      <c r="B71" s="357"/>
      <c r="C71" s="357"/>
      <c r="D71" s="357"/>
      <c r="E71" s="357"/>
      <c r="F71" s="357"/>
      <c r="G71" s="357"/>
      <c r="H71" s="357"/>
      <c r="I71" s="357"/>
      <c r="J71" s="357"/>
    </row>
    <row r="72" spans="1:10" ht="15.6">
      <c r="A72" s="368" t="s">
        <v>965</v>
      </c>
      <c r="B72" s="369"/>
      <c r="C72" s="369"/>
      <c r="D72" s="369"/>
      <c r="E72" s="368"/>
      <c r="F72" s="368"/>
      <c r="G72" s="368"/>
      <c r="H72" s="368"/>
      <c r="I72" s="354" t="str">
        <f>IF(E!B468=TRUE,"RIESGO DE FRAUDE","")</f>
        <v/>
      </c>
      <c r="J72" s="368"/>
    </row>
    <row r="73" spans="1:10" ht="15.6">
      <c r="A73" s="370"/>
      <c r="B73" s="357"/>
      <c r="C73" s="357"/>
      <c r="D73" s="357"/>
      <c r="E73" s="357"/>
      <c r="F73" s="357"/>
      <c r="G73" s="357"/>
      <c r="H73" s="357"/>
      <c r="I73" s="392" t="str">
        <f>IF(A74=$A$496,"NO",IF(A74=$A$498,"NO","SI"))</f>
        <v>NO</v>
      </c>
      <c r="J73" s="357"/>
    </row>
    <row r="74" spans="1:10">
      <c r="A74" s="1" t="str">
        <f>IF(I72="RIESGO DE FRAUDE",$A$495,IF(ABS(C77)&gt;E77,$A$497,IF(ABS(D77)&gt;E77,$A$499,IF(B77+C77=0,$A$496,$A$498))))</f>
        <v>NO APLICABLE</v>
      </c>
      <c r="B74" s="1"/>
      <c r="C74" s="1"/>
      <c r="D74" s="1"/>
      <c r="E74" s="1"/>
      <c r="F74" s="1"/>
      <c r="G74" s="1"/>
      <c r="H74" s="1"/>
      <c r="I74" s="1"/>
      <c r="J74" s="1"/>
    </row>
    <row r="75" spans="1:10">
      <c r="A75" s="2"/>
      <c r="B75" s="371"/>
      <c r="C75" s="371"/>
      <c r="D75" s="371"/>
      <c r="E75" s="2"/>
      <c r="F75" s="2"/>
      <c r="G75" s="2"/>
      <c r="H75" s="2"/>
      <c r="I75" s="2"/>
      <c r="J75" s="2"/>
    </row>
    <row r="76" spans="1:10">
      <c r="A76" s="2"/>
      <c r="B76" s="372" t="s">
        <v>955</v>
      </c>
      <c r="C76" s="372" t="s">
        <v>956</v>
      </c>
      <c r="D76" s="372" t="s">
        <v>957</v>
      </c>
      <c r="E76" s="373" t="s">
        <v>958</v>
      </c>
      <c r="F76" s="2"/>
      <c r="G76" s="2"/>
      <c r="H76" s="2"/>
      <c r="I76" s="2"/>
      <c r="J76" s="2"/>
    </row>
    <row r="77" spans="1:10">
      <c r="A77" s="374"/>
      <c r="B77" s="375">
        <f>+'AG15.1.1'!K55</f>
        <v>0</v>
      </c>
      <c r="C77" s="375">
        <f>+'AG15.1.1'!I55</f>
        <v>0</v>
      </c>
      <c r="D77" s="376">
        <f>+C77-B77</f>
        <v>0</v>
      </c>
      <c r="E77" s="348">
        <f>+E!$B$6*E!$B$8</f>
        <v>159798.5202</v>
      </c>
      <c r="F77" s="357"/>
      <c r="G77" s="357"/>
      <c r="H77" s="357"/>
      <c r="I77" s="357"/>
      <c r="J77" s="357"/>
    </row>
    <row r="78" spans="1:10" ht="15.6">
      <c r="A78" s="370"/>
      <c r="B78" s="357"/>
      <c r="C78" s="357"/>
      <c r="D78" s="357"/>
      <c r="E78" s="357"/>
      <c r="F78" s="357"/>
      <c r="G78" s="357"/>
      <c r="H78" s="357"/>
      <c r="I78" s="357"/>
      <c r="J78" s="357"/>
    </row>
    <row r="79" spans="1:10" ht="15.6">
      <c r="A79" s="368" t="s">
        <v>966</v>
      </c>
      <c r="B79" s="369"/>
      <c r="C79" s="369"/>
      <c r="D79" s="369"/>
      <c r="E79" s="368"/>
      <c r="F79" s="368"/>
      <c r="G79" s="368"/>
      <c r="H79" s="368"/>
      <c r="I79" s="354" t="str">
        <f>IF(E!B469=TRUE,"RIESGO DE FRAUDE","")</f>
        <v/>
      </c>
      <c r="J79" s="368"/>
    </row>
    <row r="80" spans="1:10" ht="15.6">
      <c r="A80" s="370"/>
      <c r="B80" s="357"/>
      <c r="C80" s="357"/>
      <c r="D80" s="357"/>
      <c r="E80" s="357"/>
      <c r="F80" s="357"/>
      <c r="G80" s="357"/>
      <c r="H80" s="357"/>
      <c r="I80" s="392" t="str">
        <f>IF(A81=$A$496,"NO",IF(A81=$A$498,"NO","SI"))</f>
        <v>SI</v>
      </c>
      <c r="J80" s="357"/>
    </row>
    <row r="81" spans="1:10">
      <c r="A81" s="1" t="str">
        <f>IF(I79="RIESGO DE FRAUDE",$A$495,IF(ABS(C84)&gt;E84,$A$497,IF(ABS(D84)&gt;E84,$A$499,IF(B84+C84=0,$A$496,$A$498))))</f>
        <v>APLICAR PROCEDIMIENTOS DE CONTROL PARA ESTA AREA; EL SALDO SUPERA EL NIVEL DE PRECISION</v>
      </c>
      <c r="B81" s="1"/>
      <c r="C81" s="1"/>
      <c r="D81" s="1"/>
      <c r="E81" s="1"/>
      <c r="F81" s="1"/>
      <c r="G81" s="1"/>
      <c r="H81" s="1"/>
      <c r="I81" s="1"/>
      <c r="J81" s="1"/>
    </row>
    <row r="82" spans="1:10">
      <c r="A82" s="2"/>
      <c r="B82" s="371"/>
      <c r="C82" s="371"/>
      <c r="D82" s="371"/>
      <c r="E82" s="2"/>
      <c r="F82" s="2"/>
      <c r="G82" s="2"/>
      <c r="H82" s="2"/>
      <c r="I82" s="2"/>
      <c r="J82" s="2"/>
    </row>
    <row r="83" spans="1:10">
      <c r="A83" s="2"/>
      <c r="B83" s="372" t="s">
        <v>955</v>
      </c>
      <c r="C83" s="372" t="s">
        <v>956</v>
      </c>
      <c r="D83" s="372" t="s">
        <v>957</v>
      </c>
      <c r="E83" s="373" t="s">
        <v>958</v>
      </c>
      <c r="F83" s="2"/>
      <c r="G83" s="2"/>
      <c r="H83" s="2"/>
      <c r="I83" s="2"/>
      <c r="J83" s="2"/>
    </row>
    <row r="84" spans="1:10">
      <c r="A84" s="374"/>
      <c r="B84" s="375">
        <f>+'AG15.1.1'!K56</f>
        <v>257821.42</v>
      </c>
      <c r="C84" s="375">
        <f>+'AG15.1.1'!I56</f>
        <v>181566.1</v>
      </c>
      <c r="D84" s="376">
        <f>+C84-B84</f>
        <v>-76255.320000000007</v>
      </c>
      <c r="E84" s="348">
        <f>+E!$B$6*E!$B$8</f>
        <v>159798.5202</v>
      </c>
      <c r="F84" s="357"/>
      <c r="G84" s="357"/>
      <c r="H84" s="357"/>
      <c r="I84" s="357"/>
      <c r="J84" s="357"/>
    </row>
    <row r="85" spans="1:10" ht="15.6">
      <c r="A85" s="370"/>
      <c r="B85" s="357"/>
      <c r="C85" s="357"/>
      <c r="D85" s="357"/>
      <c r="E85" s="357"/>
      <c r="F85" s="357"/>
      <c r="G85" s="357"/>
      <c r="H85" s="357"/>
      <c r="I85" s="357"/>
      <c r="J85" s="357"/>
    </row>
    <row r="86" spans="1:10" ht="15.6">
      <c r="A86" s="368" t="s">
        <v>967</v>
      </c>
      <c r="B86" s="369"/>
      <c r="C86" s="369"/>
      <c r="D86" s="369"/>
      <c r="E86" s="368"/>
      <c r="F86" s="368"/>
      <c r="G86" s="368"/>
      <c r="H86" s="368"/>
      <c r="I86" s="354" t="str">
        <f>IF(E!B470=TRUE,"RIESGO DE FRAUDE","")</f>
        <v/>
      </c>
      <c r="J86" s="368"/>
    </row>
    <row r="87" spans="1:10" ht="15.6">
      <c r="A87" s="370"/>
      <c r="B87" s="357"/>
      <c r="C87" s="357"/>
      <c r="D87" s="357"/>
      <c r="E87" s="357"/>
      <c r="F87" s="357"/>
      <c r="G87" s="357"/>
      <c r="H87" s="357"/>
      <c r="I87" s="392" t="str">
        <f>IF(A88=$A$496,"NO",IF(A88=$A$498,"NO","SI"))</f>
        <v>SI</v>
      </c>
      <c r="J87" s="357"/>
    </row>
    <row r="88" spans="1:10">
      <c r="A88" s="1" t="str">
        <f>IF(I86="RIESGO DE FRAUDE",$A$495,IF(ABS(C91)&gt;E91,$A$497,IF(ABS(D91)&gt;E91,$A$499,IF(B91+C91=0,$A$496,$A$498))))</f>
        <v>APLICAR PROCEDIMIENTOS DE CONTROL PARA ESTA AREA; EL SALDO SUPERA EL NIVEL DE PRECISION</v>
      </c>
      <c r="B88" s="1"/>
      <c r="C88" s="1"/>
      <c r="D88" s="1"/>
      <c r="E88" s="1"/>
      <c r="F88" s="1"/>
      <c r="G88" s="1"/>
      <c r="H88" s="1"/>
      <c r="I88" s="1"/>
      <c r="J88" s="1"/>
    </row>
    <row r="89" spans="1:10">
      <c r="A89" s="2"/>
      <c r="B89" s="371"/>
      <c r="C89" s="371"/>
      <c r="D89" s="371"/>
      <c r="E89" s="2"/>
      <c r="F89" s="2"/>
      <c r="G89" s="2"/>
      <c r="H89" s="2"/>
      <c r="I89" s="2"/>
      <c r="J89" s="2"/>
    </row>
    <row r="90" spans="1:10">
      <c r="A90" s="2"/>
      <c r="B90" s="372" t="s">
        <v>955</v>
      </c>
      <c r="C90" s="372" t="s">
        <v>956</v>
      </c>
      <c r="D90" s="372" t="s">
        <v>957</v>
      </c>
      <c r="E90" s="373" t="s">
        <v>958</v>
      </c>
      <c r="F90" s="2"/>
      <c r="G90" s="2"/>
      <c r="H90" s="2"/>
      <c r="I90" s="2"/>
      <c r="J90" s="2"/>
    </row>
    <row r="91" spans="1:10">
      <c r="A91" s="374"/>
      <c r="B91" s="375">
        <f>+'AG15.1.1'!K63</f>
        <v>378321.48</v>
      </c>
      <c r="C91" s="375">
        <f>+'AG15.1.1'!I63</f>
        <v>559522.4</v>
      </c>
      <c r="D91" s="376">
        <f>+C91-B91</f>
        <v>181200.92000000004</v>
      </c>
      <c r="E91" s="348">
        <f>+E!$B$6*E!$B$8</f>
        <v>159798.5202</v>
      </c>
      <c r="F91" s="357"/>
      <c r="G91" s="357"/>
      <c r="H91" s="357"/>
      <c r="I91" s="357"/>
      <c r="J91" s="357"/>
    </row>
    <row r="92" spans="1:10" ht="15.6">
      <c r="A92" s="370"/>
      <c r="B92" s="357"/>
      <c r="C92" s="357"/>
      <c r="D92" s="357"/>
      <c r="E92" s="357"/>
      <c r="F92" s="357"/>
      <c r="G92" s="357"/>
      <c r="H92" s="357"/>
      <c r="I92" s="357"/>
      <c r="J92" s="357"/>
    </row>
    <row r="93" spans="1:10" ht="15.6">
      <c r="A93" s="368" t="s">
        <v>968</v>
      </c>
      <c r="B93" s="369"/>
      <c r="C93" s="369"/>
      <c r="D93" s="369"/>
      <c r="E93" s="368"/>
      <c r="F93" s="368"/>
      <c r="G93" s="368"/>
      <c r="H93" s="368"/>
      <c r="I93" s="354" t="str">
        <f>IF(E!B471=TRUE,"RIESGO DE FRAUDE","")</f>
        <v/>
      </c>
      <c r="J93" s="368"/>
    </row>
    <row r="94" spans="1:10" ht="15.6">
      <c r="A94" s="370"/>
      <c r="B94" s="357"/>
      <c r="C94" s="357"/>
      <c r="D94" s="357"/>
      <c r="E94" s="357"/>
      <c r="F94" s="357"/>
      <c r="G94" s="357"/>
      <c r="H94" s="357"/>
      <c r="I94" s="392" t="str">
        <f>IF(A95=$A$496,"NO",IF(A95=$A$498,"NO","SI"))</f>
        <v>NO</v>
      </c>
      <c r="J94" s="357"/>
    </row>
    <row r="95" spans="1:10">
      <c r="A95" s="1" t="str">
        <f>IF(I93="RIESGO DE FRAUDE",$A$495,IF(ABS(C98)&gt;E98,$A$497,IF(ABS(D98)&gt;E98,$A$499,IF(B98+C98=0,$A$496,$A$498))))</f>
        <v>NO APLICABLE</v>
      </c>
      <c r="B95" s="1"/>
      <c r="C95" s="1"/>
      <c r="D95" s="1"/>
      <c r="E95" s="1"/>
      <c r="F95" s="1"/>
      <c r="G95" s="1"/>
      <c r="H95" s="1"/>
      <c r="I95" s="1"/>
      <c r="J95" s="1"/>
    </row>
    <row r="96" spans="1:10">
      <c r="A96" s="2"/>
      <c r="B96" s="371"/>
      <c r="C96" s="371"/>
      <c r="D96" s="371"/>
      <c r="E96" s="2"/>
      <c r="F96" s="2"/>
      <c r="G96" s="2"/>
      <c r="H96" s="2"/>
      <c r="I96" s="2"/>
      <c r="J96" s="2"/>
    </row>
    <row r="97" spans="1:10">
      <c r="A97" s="2"/>
      <c r="B97" s="372" t="s">
        <v>955</v>
      </c>
      <c r="C97" s="372" t="s">
        <v>956</v>
      </c>
      <c r="D97" s="372" t="s">
        <v>957</v>
      </c>
      <c r="E97" s="373" t="s">
        <v>958</v>
      </c>
      <c r="F97" s="2"/>
      <c r="G97" s="2"/>
      <c r="H97" s="2"/>
      <c r="I97" s="2"/>
      <c r="J97" s="2"/>
    </row>
    <row r="98" spans="1:10">
      <c r="A98" s="374"/>
      <c r="B98" s="375">
        <f>+'AG15.1.1'!K71</f>
        <v>0</v>
      </c>
      <c r="C98" s="375">
        <f>+'AG15.1.1'!I71</f>
        <v>0</v>
      </c>
      <c r="D98" s="376">
        <f>+C98-B98</f>
        <v>0</v>
      </c>
      <c r="E98" s="348">
        <f>+E!$B$6*E!$B$8</f>
        <v>159798.5202</v>
      </c>
      <c r="F98" s="357"/>
      <c r="G98" s="357"/>
      <c r="H98" s="357"/>
      <c r="I98" s="357"/>
      <c r="J98" s="357"/>
    </row>
    <row r="99" spans="1:10" ht="15.6">
      <c r="A99" s="370"/>
      <c r="B99" s="357"/>
      <c r="C99" s="357"/>
      <c r="D99" s="357"/>
      <c r="E99" s="357"/>
      <c r="F99" s="357"/>
      <c r="G99" s="357"/>
      <c r="H99" s="357"/>
      <c r="I99" s="357"/>
      <c r="J99" s="357"/>
    </row>
    <row r="100" spans="1:10" ht="15.6">
      <c r="A100" s="368" t="s">
        <v>969</v>
      </c>
      <c r="B100" s="369"/>
      <c r="C100" s="369"/>
      <c r="D100" s="369"/>
      <c r="E100" s="368"/>
      <c r="F100" s="368"/>
      <c r="G100" s="368"/>
      <c r="H100" s="368"/>
      <c r="I100" s="354" t="str">
        <f>IF(E!B472=TRUE,"RIESGO DE FRAUDE","")</f>
        <v/>
      </c>
      <c r="J100" s="368"/>
    </row>
    <row r="101" spans="1:10" ht="15.6">
      <c r="A101" s="370"/>
      <c r="B101" s="357"/>
      <c r="C101" s="357"/>
      <c r="D101" s="357"/>
      <c r="E101" s="357"/>
      <c r="F101" s="357"/>
      <c r="G101" s="357"/>
      <c r="H101" s="357"/>
      <c r="I101" s="392" t="str">
        <f>IF(A102=$A$496,"NO",IF(A102=$A$498,"NO","SI"))</f>
        <v>NO</v>
      </c>
      <c r="J101" s="357"/>
    </row>
    <row r="102" spans="1:10">
      <c r="A102" s="1" t="str">
        <f>IF(I100="RIESGO DE FRAUDE",$A$495,IF(ABS(C105)&gt;E105,$A$497,IF(ABS(D105)&gt;E105,$A$499,IF(B105+C105=0,$A$496,$A$498))))</f>
        <v>AREA POCO RELEVANTE. NO APLICAR PROCEDIMIENTOS DE AUDITORIA</v>
      </c>
      <c r="B102" s="1"/>
      <c r="C102" s="1"/>
      <c r="D102" s="1"/>
      <c r="E102" s="1"/>
      <c r="F102" s="1"/>
      <c r="G102" s="1"/>
      <c r="H102" s="1"/>
      <c r="I102" s="1"/>
      <c r="J102" s="1"/>
    </row>
    <row r="103" spans="1:10">
      <c r="A103" s="2"/>
      <c r="B103" s="371"/>
      <c r="C103" s="371"/>
      <c r="D103" s="371"/>
      <c r="E103" s="2"/>
      <c r="F103" s="2"/>
      <c r="G103" s="2"/>
      <c r="H103" s="2"/>
      <c r="I103" s="2"/>
      <c r="J103" s="2"/>
    </row>
    <row r="104" spans="1:10">
      <c r="A104" s="2"/>
      <c r="B104" s="372" t="s">
        <v>955</v>
      </c>
      <c r="C104" s="372" t="s">
        <v>956</v>
      </c>
      <c r="D104" s="372" t="s">
        <v>957</v>
      </c>
      <c r="E104" s="373" t="s">
        <v>958</v>
      </c>
      <c r="F104" s="2"/>
      <c r="G104" s="2"/>
      <c r="H104" s="2"/>
      <c r="I104" s="2"/>
      <c r="J104" s="2"/>
    </row>
    <row r="105" spans="1:10">
      <c r="A105" s="374"/>
      <c r="B105" s="375">
        <f>+'AG15.1.1'!K78</f>
        <v>27792.68</v>
      </c>
      <c r="C105" s="375">
        <f>+'AG15.1.1'!I78</f>
        <v>20685.95</v>
      </c>
      <c r="D105" s="376">
        <f>+C105-B105</f>
        <v>-7106.73</v>
      </c>
      <c r="E105" s="348">
        <f>+E!$B$6*E!$B$8</f>
        <v>159798.5202</v>
      </c>
      <c r="F105" s="357"/>
      <c r="G105" s="357"/>
      <c r="H105" s="357"/>
      <c r="I105" s="357"/>
      <c r="J105" s="357"/>
    </row>
    <row r="106" spans="1:10">
      <c r="A106" s="374"/>
      <c r="B106" s="377"/>
      <c r="C106" s="357"/>
      <c r="D106" s="357"/>
      <c r="E106" s="357"/>
      <c r="F106" s="357"/>
      <c r="G106" s="357"/>
      <c r="H106" s="357"/>
      <c r="I106" s="357"/>
      <c r="J106" s="357"/>
    </row>
    <row r="107" spans="1:10" ht="15.6">
      <c r="A107" s="368" t="s">
        <v>970</v>
      </c>
      <c r="B107" s="369"/>
      <c r="C107" s="369"/>
      <c r="D107" s="369"/>
      <c r="E107" s="368"/>
      <c r="F107" s="368"/>
      <c r="G107" s="368"/>
      <c r="H107" s="368"/>
      <c r="I107" s="354" t="str">
        <f>IF(E!B473=TRUE,"RIESGO DE FRAUDE","")</f>
        <v/>
      </c>
      <c r="J107" s="368"/>
    </row>
    <row r="108" spans="1:10" ht="15.6">
      <c r="A108" s="370"/>
      <c r="B108" s="357"/>
      <c r="C108" s="357"/>
      <c r="D108" s="357"/>
      <c r="E108" s="357"/>
      <c r="F108" s="357"/>
      <c r="G108" s="357"/>
      <c r="H108" s="357"/>
      <c r="I108" s="392" t="str">
        <f>IF(A109=$A$496,"NO",IF(A109=$A$498,"NO","SI"))</f>
        <v>SI</v>
      </c>
      <c r="J108" s="357"/>
    </row>
    <row r="109" spans="1:10">
      <c r="A109" s="1" t="str">
        <f>IF(I107="RIESGO DE FRAUDE",$A$495,IF(ABS(C112)&gt;E112,$A$497,IF(ABS(D112)&gt;E112,$A$499,IF(B112+C112=0,$A$496,$A$498))))</f>
        <v>APLICAR PROCEDIMIENTOS DE CONTROL PARA ESTA AREA; EL SALDO SUPERA EL NIVEL DE PRECISION</v>
      </c>
      <c r="B109" s="1"/>
      <c r="C109" s="1"/>
      <c r="D109" s="1"/>
      <c r="E109" s="1"/>
      <c r="F109" s="1"/>
      <c r="G109" s="1"/>
      <c r="H109" s="1"/>
      <c r="I109" s="1"/>
      <c r="J109" s="1"/>
    </row>
    <row r="110" spans="1:10">
      <c r="A110" s="2"/>
      <c r="B110" s="371"/>
      <c r="C110" s="371"/>
      <c r="D110" s="371"/>
      <c r="E110" s="2"/>
      <c r="F110" s="2"/>
      <c r="G110" s="2"/>
      <c r="H110" s="2"/>
      <c r="I110" s="2"/>
      <c r="J110" s="2"/>
    </row>
    <row r="111" spans="1:10">
      <c r="A111" s="2"/>
      <c r="B111" s="372" t="s">
        <v>955</v>
      </c>
      <c r="C111" s="372" t="s">
        <v>956</v>
      </c>
      <c r="D111" s="372" t="s">
        <v>957</v>
      </c>
      <c r="E111" s="373" t="s">
        <v>958</v>
      </c>
      <c r="F111" s="2"/>
      <c r="G111" s="2"/>
      <c r="H111" s="2"/>
      <c r="I111" s="2"/>
      <c r="J111" s="2"/>
    </row>
    <row r="112" spans="1:10">
      <c r="A112" s="374"/>
      <c r="B112" s="375">
        <f>+'AG15.1.1'!K85</f>
        <v>1343.47</v>
      </c>
      <c r="C112" s="375">
        <f>+'AG15.1.1'!I85</f>
        <v>260584.64</v>
      </c>
      <c r="D112" s="376">
        <f>+C112-B112</f>
        <v>259241.17</v>
      </c>
      <c r="E112" s="348">
        <f>+E!$B$6*E!$B$8</f>
        <v>159798.5202</v>
      </c>
      <c r="F112" s="357"/>
      <c r="G112" s="357"/>
      <c r="H112" s="357"/>
      <c r="I112" s="357"/>
      <c r="J112" s="357"/>
    </row>
    <row r="113" spans="1:10" ht="15.6">
      <c r="A113" s="370"/>
      <c r="B113" s="357"/>
      <c r="C113" s="357"/>
      <c r="D113" s="357"/>
      <c r="E113" s="357"/>
      <c r="F113" s="357"/>
      <c r="G113" s="357"/>
      <c r="H113" s="357"/>
      <c r="I113" s="357"/>
      <c r="J113" s="357"/>
    </row>
    <row r="114" spans="1:10" ht="15.6">
      <c r="A114" s="368" t="s">
        <v>971</v>
      </c>
      <c r="B114" s="369"/>
      <c r="C114" s="369"/>
      <c r="D114" s="369"/>
      <c r="E114" s="368"/>
      <c r="F114" s="368"/>
      <c r="G114" s="368"/>
      <c r="H114" s="368"/>
      <c r="I114" s="354" t="str">
        <f>IF(E!B474=TRUE,"RIESGO DE FRAUDE","")</f>
        <v/>
      </c>
      <c r="J114" s="368"/>
    </row>
    <row r="115" spans="1:10" ht="15.6">
      <c r="A115" s="370"/>
      <c r="B115" s="357"/>
      <c r="C115" s="357"/>
      <c r="D115" s="357"/>
      <c r="E115" s="357"/>
      <c r="F115" s="357"/>
      <c r="G115" s="357"/>
      <c r="H115" s="357"/>
      <c r="I115" s="392" t="str">
        <f>IF(A116=$A$496,"NO",IF(A116=$A$498,"NO","SI"))</f>
        <v>SI</v>
      </c>
      <c r="J115" s="357"/>
    </row>
    <row r="116" spans="1:10">
      <c r="A116" s="1" t="str">
        <f>IF(I114="RIESGO DE FRAUDE",$A$495,IF(ABS(C119)&gt;E119,$A$497,IF(ABS(D119)&gt;E119,$A$499,IF(B119+C119=0,$A$496,$A$498))))</f>
        <v>APLICAR PROCEDIMIENTOS DE CONTROL PARA ESTA AREA; EL SALDO SUPERA EL NIVEL DE PRECISION</v>
      </c>
      <c r="B116" s="1"/>
      <c r="C116" s="1"/>
      <c r="D116" s="1"/>
      <c r="E116" s="1"/>
      <c r="F116" s="1"/>
      <c r="G116" s="1"/>
      <c r="H116" s="1"/>
      <c r="I116" s="1"/>
      <c r="J116" s="1"/>
    </row>
    <row r="117" spans="1:10">
      <c r="A117" s="2"/>
      <c r="B117" s="371"/>
      <c r="C117" s="371"/>
      <c r="D117" s="371"/>
      <c r="E117" s="2"/>
      <c r="F117" s="2"/>
      <c r="G117" s="2"/>
      <c r="H117" s="2"/>
      <c r="I117" s="2"/>
      <c r="J117" s="2"/>
    </row>
    <row r="118" spans="1:10">
      <c r="A118" s="2"/>
      <c r="B118" s="372" t="s">
        <v>955</v>
      </c>
      <c r="C118" s="372" t="s">
        <v>956</v>
      </c>
      <c r="D118" s="372" t="s">
        <v>957</v>
      </c>
      <c r="E118" s="373" t="s">
        <v>958</v>
      </c>
      <c r="F118" s="2"/>
      <c r="G118" s="2"/>
      <c r="H118" s="2"/>
      <c r="I118" s="2"/>
      <c r="J118" s="2"/>
    </row>
    <row r="119" spans="1:10">
      <c r="A119" s="374"/>
      <c r="B119" s="375">
        <f>+'AG15.1.1'!K86</f>
        <v>512086.87</v>
      </c>
      <c r="C119" s="375">
        <f>+'AG15.1.1'!I86</f>
        <v>513185.63</v>
      </c>
      <c r="D119" s="376">
        <f>+C119-B119</f>
        <v>1098.7600000000093</v>
      </c>
      <c r="E119" s="348">
        <f>+E!$B$6*E!$B$8</f>
        <v>159798.5202</v>
      </c>
      <c r="F119" s="357"/>
      <c r="G119" s="357"/>
      <c r="H119" s="357"/>
      <c r="I119" s="357"/>
      <c r="J119" s="357"/>
    </row>
    <row r="120" spans="1:10" ht="15.6">
      <c r="A120" s="370"/>
      <c r="B120" s="357"/>
      <c r="C120" s="357"/>
      <c r="D120" s="357"/>
      <c r="E120" s="357"/>
      <c r="F120" s="357"/>
      <c r="G120" s="357"/>
      <c r="H120" s="357"/>
      <c r="I120" s="357"/>
      <c r="J120" s="357"/>
    </row>
    <row r="121" spans="1:10" ht="15.6">
      <c r="A121" s="368" t="s">
        <v>972</v>
      </c>
      <c r="B121" s="369"/>
      <c r="C121" s="369"/>
      <c r="D121" s="369"/>
      <c r="E121" s="368"/>
      <c r="F121" s="368"/>
      <c r="G121" s="368"/>
      <c r="H121" s="368"/>
      <c r="I121" s="354" t="str">
        <f>IF(E!B475=TRUE,"RIESGO DE FRAUDE","")</f>
        <v/>
      </c>
      <c r="J121" s="368"/>
    </row>
    <row r="122" spans="1:10" ht="15.6">
      <c r="A122" s="370"/>
      <c r="B122" s="357"/>
      <c r="C122" s="357"/>
      <c r="D122" s="357"/>
      <c r="E122" s="357"/>
      <c r="F122" s="357"/>
      <c r="G122" s="357"/>
      <c r="H122" s="357"/>
      <c r="I122" s="392" t="str">
        <f>IF(A123=$A$496,"NO",IF(A123=$A$498,"NO","SI"))</f>
        <v>SI</v>
      </c>
      <c r="J122" s="357"/>
    </row>
    <row r="123" spans="1:10">
      <c r="A123" s="1" t="str">
        <f>IF(I121="RIESGO DE FRAUDE",$A$495,IF(ABS(C126)&gt;E126,$A$497,IF(ABS(D126)&gt;E126,$A$499,IF(B126+C126=0,$A$496,$A$498))))</f>
        <v>APLICAR PROCEDIMIENTOS DE CONTROL PARA ESTA AREA; EL SALDO SUPERA EL NIVEL DE PRECISION</v>
      </c>
      <c r="B123" s="1"/>
      <c r="C123" s="1"/>
      <c r="D123" s="1"/>
      <c r="E123" s="1"/>
      <c r="F123" s="1"/>
      <c r="G123" s="1"/>
      <c r="H123" s="1"/>
      <c r="I123" s="1"/>
      <c r="J123" s="1"/>
    </row>
    <row r="124" spans="1:10">
      <c r="A124" s="2"/>
      <c r="B124" s="371"/>
      <c r="C124" s="371"/>
      <c r="D124" s="371"/>
      <c r="E124" s="2"/>
      <c r="F124" s="2"/>
      <c r="G124" s="2"/>
      <c r="H124" s="2"/>
      <c r="I124" s="2"/>
      <c r="J124" s="2"/>
    </row>
    <row r="125" spans="1:10">
      <c r="A125" s="2"/>
      <c r="B125" s="372" t="s">
        <v>955</v>
      </c>
      <c r="C125" s="372" t="s">
        <v>956</v>
      </c>
      <c r="D125" s="372" t="s">
        <v>957</v>
      </c>
      <c r="E125" s="373" t="s">
        <v>958</v>
      </c>
      <c r="F125" s="2"/>
      <c r="G125" s="2"/>
      <c r="H125" s="2"/>
      <c r="I125" s="2"/>
      <c r="J125" s="2"/>
    </row>
    <row r="126" spans="1:10">
      <c r="A126" s="374"/>
      <c r="B126" s="375">
        <f>+'AG15.1.1'!K94</f>
        <v>1936113.58</v>
      </c>
      <c r="C126" s="378">
        <f>+'AG15.1.1'!I94</f>
        <v>1963458.32</v>
      </c>
      <c r="D126" s="376">
        <f>+C126-B126</f>
        <v>27344.739999999991</v>
      </c>
      <c r="E126" s="348">
        <f>+E!$B$6*E!$B$8</f>
        <v>159798.5202</v>
      </c>
      <c r="F126" s="357"/>
      <c r="G126" s="357"/>
      <c r="H126" s="357"/>
      <c r="I126" s="357"/>
      <c r="J126" s="357"/>
    </row>
    <row r="127" spans="1:10" ht="15.6">
      <c r="A127" s="370"/>
      <c r="B127" s="357"/>
      <c r="C127" s="357"/>
      <c r="D127" s="357"/>
      <c r="E127" s="357"/>
      <c r="F127" s="357"/>
      <c r="G127" s="357"/>
      <c r="H127" s="357"/>
      <c r="I127" s="357"/>
      <c r="J127" s="357"/>
    </row>
    <row r="128" spans="1:10" ht="15.6">
      <c r="A128" s="368" t="s">
        <v>973</v>
      </c>
      <c r="B128" s="369"/>
      <c r="C128" s="369"/>
      <c r="D128" s="369"/>
      <c r="E128" s="368"/>
      <c r="F128" s="368"/>
      <c r="G128" s="368"/>
      <c r="H128" s="368"/>
      <c r="I128" s="354" t="str">
        <f>IF(E!B476=TRUE,"RIESGO DE FRAUDE","")</f>
        <v/>
      </c>
      <c r="J128" s="368"/>
    </row>
    <row r="129" spans="1:10" ht="15.6">
      <c r="A129" s="370"/>
      <c r="B129" s="357"/>
      <c r="C129" s="357"/>
      <c r="D129" s="357"/>
      <c r="E129" s="357"/>
      <c r="F129" s="357"/>
      <c r="G129" s="357"/>
      <c r="H129" s="357"/>
      <c r="I129" s="392" t="str">
        <f>IF(A130=$A$496,"NO",IF(A130=$A$498,"NO","SI"))</f>
        <v>NO</v>
      </c>
      <c r="J129" s="357"/>
    </row>
    <row r="130" spans="1:10">
      <c r="A130" s="1" t="str">
        <f>IF(I128="RIESGO DE FRAUDE",$A$495,IF(ABS(C133)&gt;E133,$A$497,IF(ABS(D133)&gt;E133,$A$499,IF(B133+C133=0,$A$496,$A$498))))</f>
        <v>NO APLICABLE</v>
      </c>
      <c r="B130" s="1"/>
      <c r="C130" s="1"/>
      <c r="D130" s="1"/>
      <c r="E130" s="1"/>
      <c r="F130" s="1"/>
      <c r="G130" s="1"/>
      <c r="H130" s="1"/>
      <c r="I130" s="1"/>
      <c r="J130" s="1"/>
    </row>
    <row r="131" spans="1:10">
      <c r="A131" s="2"/>
      <c r="B131" s="371"/>
      <c r="C131" s="371"/>
      <c r="D131" s="371"/>
      <c r="E131" s="2"/>
      <c r="F131" s="2"/>
      <c r="G131" s="2"/>
      <c r="H131" s="2"/>
      <c r="I131" s="2"/>
      <c r="J131" s="2"/>
    </row>
    <row r="132" spans="1:10">
      <c r="A132" s="2"/>
      <c r="B132" s="372" t="s">
        <v>955</v>
      </c>
      <c r="C132" s="372" t="s">
        <v>956</v>
      </c>
      <c r="D132" s="372" t="s">
        <v>957</v>
      </c>
      <c r="E132" s="373" t="s">
        <v>958</v>
      </c>
      <c r="F132" s="2"/>
      <c r="G132" s="2"/>
      <c r="H132" s="2"/>
      <c r="I132" s="2"/>
      <c r="J132" s="2"/>
    </row>
    <row r="133" spans="1:10">
      <c r="A133" s="374"/>
      <c r="B133" s="375">
        <f>+'AG15.1.1'!K113</f>
        <v>0</v>
      </c>
      <c r="C133" s="375">
        <f>+'AG15.1.1'!I113</f>
        <v>0</v>
      </c>
      <c r="D133" s="376">
        <f>+C133-B133</f>
        <v>0</v>
      </c>
      <c r="E133" s="348">
        <f>+E!$B$6*E!$B$8</f>
        <v>159798.5202</v>
      </c>
      <c r="F133" s="357"/>
      <c r="G133" s="357"/>
      <c r="H133" s="357"/>
      <c r="I133" s="357"/>
      <c r="J133" s="357"/>
    </row>
    <row r="134" spans="1:10" ht="15.6">
      <c r="A134" s="370"/>
      <c r="B134" s="357"/>
      <c r="C134" s="357"/>
      <c r="D134" s="357"/>
      <c r="E134" s="357"/>
      <c r="F134" s="357"/>
      <c r="G134" s="357"/>
      <c r="H134" s="357"/>
      <c r="I134" s="357"/>
      <c r="J134" s="357"/>
    </row>
    <row r="135" spans="1:10" ht="15.6">
      <c r="A135" s="368" t="s">
        <v>974</v>
      </c>
      <c r="B135" s="369"/>
      <c r="C135" s="369"/>
      <c r="D135" s="369"/>
      <c r="E135" s="368"/>
      <c r="F135" s="368"/>
      <c r="G135" s="368"/>
      <c r="H135" s="368"/>
      <c r="I135" s="354" t="str">
        <f>IF(E!B477=TRUE,"RIESGO DE FRAUDE","")</f>
        <v/>
      </c>
      <c r="J135" s="368"/>
    </row>
    <row r="136" spans="1:10" ht="15.6">
      <c r="A136" s="370"/>
      <c r="B136" s="357"/>
      <c r="C136" s="357"/>
      <c r="D136" s="357"/>
      <c r="E136" s="357"/>
      <c r="F136" s="357"/>
      <c r="G136" s="357"/>
      <c r="H136" s="357"/>
      <c r="I136" s="392" t="str">
        <f>IF(A137=$A$496,"NO",IF(A137=$A$498,"NO","SI"))</f>
        <v>NO</v>
      </c>
      <c r="J136" s="357"/>
    </row>
    <row r="137" spans="1:10">
      <c r="A137" s="1" t="str">
        <f>IF(I135="RIESGO DE FRAUDE",$A$495,IF(ABS(C140)&gt;E140,$A$497,IF(ABS(D140)&gt;E140,$A$499,IF(B140+C140=0,$A$496,$A$498))))</f>
        <v>AREA POCO RELEVANTE. NO APLICAR PROCEDIMIENTOS DE AUDITORIA</v>
      </c>
      <c r="B137" s="1"/>
      <c r="C137" s="1"/>
      <c r="D137" s="1"/>
      <c r="E137" s="1"/>
      <c r="F137" s="1"/>
      <c r="G137" s="1"/>
      <c r="H137" s="1"/>
      <c r="I137" s="1"/>
      <c r="J137" s="1"/>
    </row>
    <row r="138" spans="1:10">
      <c r="A138" s="2"/>
      <c r="B138" s="371"/>
      <c r="C138" s="371"/>
      <c r="D138" s="371"/>
      <c r="E138" s="2"/>
      <c r="F138" s="2"/>
      <c r="G138" s="2"/>
      <c r="H138" s="2"/>
      <c r="I138" s="2"/>
      <c r="J138" s="2"/>
    </row>
    <row r="139" spans="1:10">
      <c r="A139" s="2"/>
      <c r="B139" s="372" t="s">
        <v>955</v>
      </c>
      <c r="C139" s="372" t="s">
        <v>956</v>
      </c>
      <c r="D139" s="372" t="s">
        <v>957</v>
      </c>
      <c r="E139" s="373" t="s">
        <v>958</v>
      </c>
      <c r="F139" s="2"/>
      <c r="G139" s="2"/>
      <c r="H139" s="2"/>
      <c r="I139" s="2"/>
      <c r="J139" s="2"/>
    </row>
    <row r="140" spans="1:10">
      <c r="A140" s="374"/>
      <c r="B140" s="375">
        <f>+'AG15.1.1'!K119</f>
        <v>20803.23</v>
      </c>
      <c r="C140" s="375">
        <f>+'AG15.1.1'!I119</f>
        <v>18820.060000000001</v>
      </c>
      <c r="D140" s="376">
        <f>+B140-C140</f>
        <v>1983.1699999999983</v>
      </c>
      <c r="E140" s="348">
        <f>+E!$B$6*E!$B$8</f>
        <v>159798.5202</v>
      </c>
      <c r="F140" s="357"/>
      <c r="G140" s="357"/>
      <c r="H140" s="357"/>
      <c r="I140" s="357"/>
      <c r="J140" s="357"/>
    </row>
    <row r="141" spans="1:10" ht="15.6">
      <c r="A141" s="370"/>
      <c r="B141" s="357"/>
      <c r="C141" s="357"/>
      <c r="D141" s="357"/>
      <c r="E141" s="357"/>
      <c r="F141" s="357"/>
      <c r="G141" s="357"/>
      <c r="H141" s="357"/>
      <c r="I141" s="357"/>
      <c r="J141" s="357"/>
    </row>
    <row r="142" spans="1:10" ht="15.6">
      <c r="A142" s="368" t="s">
        <v>975</v>
      </c>
      <c r="B142" s="369"/>
      <c r="C142" s="369"/>
      <c r="D142" s="369"/>
      <c r="E142" s="368"/>
      <c r="F142" s="368"/>
      <c r="G142" s="368"/>
      <c r="H142" s="368"/>
      <c r="I142" s="354" t="str">
        <f>IF(E!B478=TRUE,"RIESGO DE FRAUDE","")</f>
        <v/>
      </c>
      <c r="J142" s="368"/>
    </row>
    <row r="143" spans="1:10" ht="15.6">
      <c r="A143" s="370"/>
      <c r="B143" s="357"/>
      <c r="C143" s="357"/>
      <c r="D143" s="357"/>
      <c r="E143" s="357"/>
      <c r="F143" s="357"/>
      <c r="G143" s="357"/>
      <c r="H143" s="357"/>
      <c r="I143" s="392" t="str">
        <f>IF(A144=$A$496,"NO",IF(A144=$A$498,"NO","SI"))</f>
        <v>NO</v>
      </c>
      <c r="J143" s="357"/>
    </row>
    <row r="144" spans="1:10">
      <c r="A144" s="1" t="str">
        <f>IF(I142="RIESGO DE FRAUDE",$A$495,IF(ABS(C147)&gt;E147,$A$497,IF(ABS(D147)&gt;E147,$A$499,IF(B147+C147=0,$A$496,$A$498))))</f>
        <v>NO APLICABLE</v>
      </c>
      <c r="B144" s="1"/>
      <c r="C144" s="1"/>
      <c r="D144" s="1"/>
      <c r="E144" s="1"/>
      <c r="F144" s="1"/>
      <c r="G144" s="1"/>
      <c r="H144" s="1"/>
      <c r="I144" s="1"/>
      <c r="J144" s="1"/>
    </row>
    <row r="145" spans="1:10">
      <c r="A145" s="2"/>
      <c r="B145" s="371"/>
      <c r="C145" s="371"/>
      <c r="D145" s="371"/>
      <c r="E145" s="2"/>
      <c r="F145" s="2"/>
      <c r="G145" s="2"/>
      <c r="H145" s="2"/>
      <c r="I145" s="2"/>
      <c r="J145" s="2"/>
    </row>
    <row r="146" spans="1:10">
      <c r="A146" s="2"/>
      <c r="B146" s="372" t="s">
        <v>955</v>
      </c>
      <c r="C146" s="372" t="s">
        <v>956</v>
      </c>
      <c r="D146" s="372" t="s">
        <v>957</v>
      </c>
      <c r="E146" s="373" t="s">
        <v>958</v>
      </c>
      <c r="F146" s="2"/>
      <c r="G146" s="2"/>
      <c r="H146" s="2"/>
      <c r="I146" s="2"/>
      <c r="J146" s="2"/>
    </row>
    <row r="147" spans="1:10">
      <c r="A147" s="374"/>
      <c r="B147" s="375">
        <f>+'AG15.1.1'!K122</f>
        <v>0</v>
      </c>
      <c r="C147" s="375">
        <f>+'AG15.1.1'!I122</f>
        <v>0</v>
      </c>
      <c r="D147" s="376">
        <f>+C147-B147</f>
        <v>0</v>
      </c>
      <c r="E147" s="348">
        <f>+E!$B$6*E!$B$8</f>
        <v>159798.5202</v>
      </c>
      <c r="F147" s="357"/>
      <c r="G147" s="357"/>
      <c r="H147" s="357"/>
      <c r="I147" s="357"/>
      <c r="J147" s="357"/>
    </row>
    <row r="148" spans="1:10" ht="15.6">
      <c r="A148" s="370"/>
      <c r="B148" s="357"/>
      <c r="C148" s="357"/>
      <c r="D148" s="357"/>
      <c r="E148" s="357"/>
      <c r="F148" s="357"/>
      <c r="G148" s="357"/>
      <c r="H148" s="357"/>
      <c r="I148" s="357"/>
      <c r="J148" s="357"/>
    </row>
    <row r="149" spans="1:10" ht="15.6">
      <c r="A149" s="368" t="s">
        <v>976</v>
      </c>
      <c r="B149" s="369"/>
      <c r="C149" s="369"/>
      <c r="D149" s="369"/>
      <c r="E149" s="368"/>
      <c r="F149" s="368"/>
      <c r="G149" s="368"/>
      <c r="H149" s="368"/>
      <c r="I149" s="354" t="str">
        <f>IF(E!B479=TRUE,"RIESGO DE FRAUDE","")</f>
        <v/>
      </c>
      <c r="J149" s="368"/>
    </row>
    <row r="150" spans="1:10" ht="15.6">
      <c r="A150" s="370"/>
      <c r="B150" s="357"/>
      <c r="C150" s="357"/>
      <c r="D150" s="357"/>
      <c r="E150" s="357"/>
      <c r="F150" s="357"/>
      <c r="G150" s="357"/>
      <c r="H150" s="357"/>
      <c r="I150" s="392" t="str">
        <f>IF(A151=$A$496,"NO",IF(A151=$A$498,"NO","SI"))</f>
        <v>NO</v>
      </c>
      <c r="J150" s="357"/>
    </row>
    <row r="151" spans="1:10">
      <c r="A151" s="1" t="str">
        <f>IF(I149="RIESGO DE FRAUDE",$A$495,IF(ABS(C154)&gt;E154,$A$497,IF(ABS(D154)&gt;E154,$A$499,IF(B154+C154=0,$A$496,$A$498))))</f>
        <v>AREA POCO RELEVANTE. NO APLICAR PROCEDIMIENTOS DE AUDITORIA</v>
      </c>
      <c r="B151" s="1"/>
      <c r="C151" s="1"/>
      <c r="D151" s="1"/>
      <c r="E151" s="1"/>
      <c r="F151" s="1"/>
      <c r="G151" s="1"/>
      <c r="H151" s="1"/>
      <c r="I151" s="1"/>
      <c r="J151" s="1"/>
    </row>
    <row r="152" spans="1:10">
      <c r="A152" s="2"/>
      <c r="B152" s="371"/>
      <c r="C152" s="371"/>
      <c r="D152" s="371"/>
      <c r="E152" s="2"/>
      <c r="F152" s="2"/>
      <c r="G152" s="2"/>
      <c r="H152" s="2"/>
      <c r="I152" s="2"/>
      <c r="J152" s="2"/>
    </row>
    <row r="153" spans="1:10">
      <c r="A153" s="2"/>
      <c r="B153" s="372" t="s">
        <v>955</v>
      </c>
      <c r="C153" s="372" t="s">
        <v>956</v>
      </c>
      <c r="D153" s="372" t="s">
        <v>957</v>
      </c>
      <c r="E153" s="373" t="s">
        <v>958</v>
      </c>
      <c r="F153" s="2"/>
      <c r="G153" s="2"/>
      <c r="H153" s="2"/>
      <c r="I153" s="2"/>
      <c r="J153" s="2"/>
    </row>
    <row r="154" spans="1:10">
      <c r="A154" s="374"/>
      <c r="B154" s="375">
        <f>+'AG15.1.1'!K127</f>
        <v>8780.9699999999993</v>
      </c>
      <c r="C154" s="375">
        <f>+'AG15.1.1'!I127</f>
        <v>8780.9699999999993</v>
      </c>
      <c r="D154" s="376">
        <f>+C154-B154</f>
        <v>0</v>
      </c>
      <c r="E154" s="348">
        <f>+E!$B$6*E!$B$8</f>
        <v>159798.5202</v>
      </c>
      <c r="F154" s="357"/>
      <c r="G154" s="357"/>
      <c r="H154" s="357"/>
      <c r="I154" s="357"/>
      <c r="J154" s="357"/>
    </row>
    <row r="155" spans="1:10" ht="15.6">
      <c r="A155" s="370"/>
      <c r="B155" s="357"/>
      <c r="C155" s="357"/>
      <c r="D155" s="357"/>
      <c r="E155" s="357"/>
      <c r="F155" s="357"/>
      <c r="G155" s="357"/>
      <c r="H155" s="357"/>
      <c r="I155" s="357"/>
      <c r="J155" s="357"/>
    </row>
    <row r="156" spans="1:10" ht="15.6">
      <c r="A156" s="368" t="s">
        <v>977</v>
      </c>
      <c r="B156" s="369"/>
      <c r="C156" s="369"/>
      <c r="D156" s="369"/>
      <c r="E156" s="368"/>
      <c r="F156" s="368"/>
      <c r="G156" s="368"/>
      <c r="H156" s="368"/>
      <c r="I156" s="354" t="str">
        <f>IF(E!B480=TRUE,"RIESGO DE FRAUDE","")</f>
        <v/>
      </c>
      <c r="J156" s="368"/>
    </row>
    <row r="157" spans="1:10" ht="15.6">
      <c r="A157" s="370"/>
      <c r="B157" s="357"/>
      <c r="C157" s="357"/>
      <c r="D157" s="357"/>
      <c r="E157" s="357"/>
      <c r="F157" s="357"/>
      <c r="G157" s="357"/>
      <c r="H157" s="357"/>
      <c r="I157" s="392" t="str">
        <f>IF(A158=$A$496,"NO",IF(A158=$A$498,"NO","SI"))</f>
        <v>NO</v>
      </c>
      <c r="J157" s="357"/>
    </row>
    <row r="158" spans="1:10">
      <c r="A158" s="1" t="str">
        <f>IF(I156="RIESGO DE FRAUDE",$A$495,IF(ABS(C161)&gt;E161,$A$497,IF(ABS(D161)&gt;E161,$A$499,IF(B161+C161=0,$A$496,$A$498))))</f>
        <v>NO APLICABLE</v>
      </c>
      <c r="B158" s="1"/>
      <c r="C158" s="1"/>
      <c r="D158" s="1"/>
      <c r="E158" s="1"/>
      <c r="F158" s="1"/>
      <c r="G158" s="1"/>
      <c r="H158" s="1"/>
      <c r="I158" s="1"/>
      <c r="J158" s="1"/>
    </row>
    <row r="159" spans="1:10">
      <c r="A159" s="2"/>
      <c r="B159" s="371"/>
      <c r="C159" s="371"/>
      <c r="D159" s="371"/>
      <c r="E159" s="2"/>
      <c r="F159" s="2"/>
      <c r="G159" s="2"/>
      <c r="H159" s="2"/>
      <c r="I159" s="2"/>
      <c r="J159" s="2"/>
    </row>
    <row r="160" spans="1:10">
      <c r="A160" s="2"/>
      <c r="B160" s="372" t="s">
        <v>955</v>
      </c>
      <c r="C160" s="372" t="s">
        <v>956</v>
      </c>
      <c r="D160" s="372" t="s">
        <v>957</v>
      </c>
      <c r="E160" s="373" t="s">
        <v>958</v>
      </c>
      <c r="F160" s="2"/>
      <c r="G160" s="2"/>
      <c r="H160" s="2"/>
      <c r="I160" s="2"/>
      <c r="J160" s="2"/>
    </row>
    <row r="161" spans="1:10">
      <c r="A161" s="374"/>
      <c r="B161" s="375">
        <f>+'AG15.1.1'!K133</f>
        <v>0</v>
      </c>
      <c r="C161" s="375">
        <f>+'AG15.1.1'!I133</f>
        <v>0</v>
      </c>
      <c r="D161" s="376">
        <f>+C161-B161</f>
        <v>0</v>
      </c>
      <c r="E161" s="348">
        <f>+E!$B$6*E!$B$8</f>
        <v>159798.5202</v>
      </c>
      <c r="F161" s="357"/>
      <c r="G161" s="357"/>
      <c r="H161" s="357"/>
      <c r="I161" s="357"/>
      <c r="J161" s="357"/>
    </row>
    <row r="162" spans="1:10" ht="15.6">
      <c r="A162" s="370"/>
      <c r="B162" s="357"/>
      <c r="C162" s="357"/>
      <c r="D162" s="357"/>
      <c r="E162" s="357"/>
      <c r="F162" s="357"/>
      <c r="G162" s="357"/>
      <c r="H162" s="357"/>
      <c r="I162" s="357"/>
      <c r="J162" s="357"/>
    </row>
    <row r="163" spans="1:10" ht="15.6">
      <c r="A163" s="368" t="s">
        <v>978</v>
      </c>
      <c r="B163" s="369"/>
      <c r="C163" s="369"/>
      <c r="D163" s="369"/>
      <c r="E163" s="368"/>
      <c r="F163" s="368"/>
      <c r="G163" s="368"/>
      <c r="H163" s="368"/>
      <c r="I163" s="354" t="str">
        <f>IF(E!B481=TRUE,"RIESGO DE FRAUDE","")</f>
        <v/>
      </c>
      <c r="J163" s="368"/>
    </row>
    <row r="164" spans="1:10" ht="15.6">
      <c r="A164" s="370"/>
      <c r="B164" s="357"/>
      <c r="C164" s="357"/>
      <c r="D164" s="357"/>
      <c r="E164" s="357"/>
      <c r="F164" s="357"/>
      <c r="G164" s="357"/>
      <c r="H164" s="357"/>
      <c r="I164" s="392" t="str">
        <f>IF(A165=$A$496,"NO",IF(A165=$A$498,"NO","SI"))</f>
        <v>NO</v>
      </c>
      <c r="J164" s="357"/>
    </row>
    <row r="165" spans="1:10">
      <c r="A165" s="1" t="str">
        <f>IF(I163="RIESGO DE FRAUDE",$A$495,IF(ABS(C168)&gt;E168,$A$497,IF(ABS(D168)&gt;E168,$A$499,IF(B168+C168=0,$A$496,$A$498))))</f>
        <v>AREA POCO RELEVANTE. NO APLICAR PROCEDIMIENTOS DE AUDITORIA</v>
      </c>
      <c r="B165" s="1"/>
      <c r="C165" s="1"/>
      <c r="D165" s="1"/>
      <c r="E165" s="1"/>
      <c r="F165" s="1"/>
      <c r="G165" s="1"/>
      <c r="H165" s="1"/>
      <c r="I165" s="1"/>
      <c r="J165" s="1"/>
    </row>
    <row r="166" spans="1:10">
      <c r="A166" s="2"/>
      <c r="B166" s="371"/>
      <c r="C166" s="371"/>
      <c r="D166" s="371"/>
      <c r="E166" s="2"/>
      <c r="F166" s="2"/>
      <c r="G166" s="2"/>
      <c r="H166" s="2"/>
      <c r="I166" s="2"/>
      <c r="J166" s="2"/>
    </row>
    <row r="167" spans="1:10">
      <c r="A167" s="2"/>
      <c r="B167" s="372" t="s">
        <v>955</v>
      </c>
      <c r="C167" s="372" t="s">
        <v>956</v>
      </c>
      <c r="D167" s="372" t="s">
        <v>957</v>
      </c>
      <c r="E167" s="373" t="s">
        <v>958</v>
      </c>
      <c r="F167" s="2"/>
      <c r="G167" s="2"/>
      <c r="H167" s="2"/>
      <c r="I167" s="2"/>
      <c r="J167" s="2"/>
    </row>
    <row r="168" spans="1:10">
      <c r="A168" s="374"/>
      <c r="B168" s="375">
        <f>+'AG15.1.1'!K134</f>
        <v>2134.1799999999998</v>
      </c>
      <c r="C168" s="375">
        <f>+'AG15.1.1'!I134</f>
        <v>1913.83</v>
      </c>
      <c r="D168" s="376">
        <f>+C168-B168</f>
        <v>-220.34999999999991</v>
      </c>
      <c r="E168" s="348">
        <f>+E!$B$6*E!$B$8</f>
        <v>159798.5202</v>
      </c>
      <c r="F168" s="357"/>
      <c r="G168" s="357"/>
      <c r="H168" s="357"/>
      <c r="I168" s="357"/>
      <c r="J168" s="357"/>
    </row>
    <row r="169" spans="1:10" ht="15.6">
      <c r="A169" s="370"/>
      <c r="B169" s="357"/>
      <c r="C169" s="357"/>
      <c r="D169" s="357"/>
      <c r="E169" s="357"/>
      <c r="F169" s="357"/>
      <c r="G169" s="357"/>
      <c r="H169" s="357"/>
      <c r="I169" s="357"/>
      <c r="J169" s="357"/>
    </row>
    <row r="170" spans="1:10" ht="15.6">
      <c r="A170" s="368" t="s">
        <v>979</v>
      </c>
      <c r="B170" s="369"/>
      <c r="C170" s="369"/>
      <c r="D170" s="369"/>
      <c r="E170" s="368"/>
      <c r="F170" s="368"/>
      <c r="G170" s="368"/>
      <c r="H170" s="368"/>
      <c r="I170" s="354" t="str">
        <f>IF(E!B482=TRUE,"RIESGO DE FRAUDE","")</f>
        <v/>
      </c>
      <c r="J170" s="368"/>
    </row>
    <row r="171" spans="1:10" ht="15.6">
      <c r="A171" s="370"/>
      <c r="B171" s="357"/>
      <c r="C171" s="357"/>
      <c r="D171" s="357"/>
      <c r="E171" s="357"/>
      <c r="F171" s="357"/>
      <c r="G171" s="357"/>
      <c r="H171" s="357"/>
      <c r="I171" s="392" t="str">
        <f>IF(A172=$A$496,"NO",IF(A172=$A$498,"NO","SI"))</f>
        <v>NO</v>
      </c>
      <c r="J171" s="357"/>
    </row>
    <row r="172" spans="1:10">
      <c r="A172" s="1" t="s">
        <v>954</v>
      </c>
      <c r="B172" s="1"/>
      <c r="C172" s="1"/>
      <c r="D172" s="1"/>
      <c r="E172" s="1"/>
      <c r="F172" s="1"/>
      <c r="G172" s="1"/>
      <c r="H172" s="1"/>
      <c r="I172" s="1"/>
      <c r="J172" s="1"/>
    </row>
    <row r="173" spans="1:10">
      <c r="A173" s="2"/>
      <c r="B173" s="371"/>
      <c r="C173" s="371"/>
      <c r="D173" s="371"/>
      <c r="E173" s="2"/>
      <c r="F173" s="2"/>
      <c r="G173" s="2"/>
      <c r="H173" s="2"/>
      <c r="I173" s="2"/>
      <c r="J173" s="2"/>
    </row>
    <row r="174" spans="1:10">
      <c r="A174" s="2"/>
      <c r="B174" s="372" t="s">
        <v>955</v>
      </c>
      <c r="C174" s="372" t="s">
        <v>956</v>
      </c>
      <c r="D174" s="372" t="s">
        <v>957</v>
      </c>
      <c r="E174" s="373" t="s">
        <v>958</v>
      </c>
      <c r="F174" s="2"/>
      <c r="G174" s="2"/>
      <c r="H174" s="2"/>
      <c r="I174" s="2"/>
      <c r="J174" s="2"/>
    </row>
    <row r="175" spans="1:10">
      <c r="A175" s="374"/>
      <c r="B175" s="375">
        <f>+'AG15.1.1'!K135</f>
        <v>0</v>
      </c>
      <c r="C175" s="375">
        <f>+'AG15.1.1'!I135</f>
        <v>0</v>
      </c>
      <c r="D175" s="376">
        <f>+C175-B175</f>
        <v>0</v>
      </c>
      <c r="E175" s="348">
        <f>+E!$B$6*E!$B$8</f>
        <v>159798.5202</v>
      </c>
      <c r="F175" s="357"/>
      <c r="G175" s="357"/>
      <c r="H175" s="357"/>
      <c r="I175" s="357"/>
      <c r="J175" s="357"/>
    </row>
    <row r="176" spans="1:10" ht="15.6">
      <c r="A176" s="370"/>
      <c r="B176" s="357"/>
      <c r="C176" s="357"/>
      <c r="D176" s="357"/>
      <c r="E176" s="357"/>
      <c r="F176" s="357"/>
      <c r="G176" s="357"/>
      <c r="H176" s="357"/>
      <c r="I176" s="357"/>
      <c r="J176" s="357"/>
    </row>
    <row r="177" spans="1:10" ht="15.6">
      <c r="A177" s="368" t="s">
        <v>980</v>
      </c>
      <c r="B177" s="369"/>
      <c r="C177" s="369"/>
      <c r="D177" s="369"/>
      <c r="E177" s="368"/>
      <c r="F177" s="368"/>
      <c r="G177" s="368"/>
      <c r="H177" s="368"/>
      <c r="I177" s="354" t="str">
        <f>IF(E!B483=TRUE,"RIESGO DE FRAUDE","")</f>
        <v/>
      </c>
      <c r="J177" s="368"/>
    </row>
    <row r="178" spans="1:10" ht="15.6">
      <c r="A178" s="370"/>
      <c r="B178" s="357"/>
      <c r="C178" s="357"/>
      <c r="D178" s="357"/>
      <c r="E178" s="357"/>
      <c r="F178" s="357"/>
      <c r="G178" s="357"/>
      <c r="H178" s="357"/>
      <c r="I178" s="392" t="str">
        <f>IF(A179=$A$496,"NO",IF(A179=$A$498,"NO","SI"))</f>
        <v>NO</v>
      </c>
      <c r="J178" s="357"/>
    </row>
    <row r="179" spans="1:10">
      <c r="A179" s="1" t="str">
        <f>IF(I177="RIESGO DE FRAUDE",$A$495,IF(ABS(C182)&gt;E182,$A$497,IF(ABS(D182)&gt;E182,$A$499,IF(B182+C182=0,$A$496,$A$498))))</f>
        <v>NO APLICABLE</v>
      </c>
      <c r="B179" s="1"/>
      <c r="C179" s="1"/>
      <c r="D179" s="1"/>
      <c r="E179" s="1"/>
      <c r="F179" s="1"/>
      <c r="G179" s="1"/>
      <c r="H179" s="1"/>
      <c r="I179" s="1"/>
      <c r="J179" s="1"/>
    </row>
    <row r="180" spans="1:10">
      <c r="A180" s="2"/>
      <c r="B180" s="371"/>
      <c r="C180" s="371"/>
      <c r="D180" s="371"/>
      <c r="E180" s="2"/>
      <c r="F180" s="2"/>
      <c r="G180" s="2"/>
      <c r="H180" s="2"/>
      <c r="I180" s="2"/>
      <c r="J180" s="2"/>
    </row>
    <row r="181" spans="1:10">
      <c r="A181" s="2"/>
      <c r="B181" s="372" t="s">
        <v>955</v>
      </c>
      <c r="C181" s="372" t="s">
        <v>956</v>
      </c>
      <c r="D181" s="372" t="s">
        <v>957</v>
      </c>
      <c r="E181" s="373" t="s">
        <v>958</v>
      </c>
      <c r="F181" s="2"/>
      <c r="G181" s="2"/>
      <c r="H181" s="2"/>
      <c r="I181" s="2"/>
      <c r="J181" s="2"/>
    </row>
    <row r="182" spans="1:10">
      <c r="A182" s="374"/>
      <c r="B182" s="375">
        <f>+'AG15.1.1'!K136</f>
        <v>0</v>
      </c>
      <c r="C182" s="375">
        <f>+'AG15.1.1'!I136</f>
        <v>0</v>
      </c>
      <c r="D182" s="376">
        <f>+C182-B182</f>
        <v>0</v>
      </c>
      <c r="E182" s="348">
        <f>+E!$B$6*E!$B$8</f>
        <v>159798.5202</v>
      </c>
      <c r="F182" s="357"/>
      <c r="G182" s="357"/>
      <c r="H182" s="357"/>
      <c r="I182" s="357"/>
      <c r="J182" s="357"/>
    </row>
    <row r="183" spans="1:10" ht="15.6">
      <c r="A183" s="370"/>
      <c r="B183" s="357"/>
      <c r="C183" s="357"/>
      <c r="D183" s="357"/>
      <c r="E183" s="357"/>
      <c r="F183" s="357"/>
      <c r="G183" s="357"/>
      <c r="H183" s="357"/>
      <c r="I183" s="357"/>
      <c r="J183" s="357"/>
    </row>
    <row r="184" spans="1:10" ht="15.6">
      <c r="A184" s="368" t="s">
        <v>981</v>
      </c>
      <c r="B184" s="369"/>
      <c r="C184" s="369"/>
      <c r="D184" s="369"/>
      <c r="E184" s="368"/>
      <c r="F184" s="368"/>
      <c r="G184" s="368"/>
      <c r="H184" s="368"/>
      <c r="I184" s="354" t="str">
        <f>IF(E!B484=TRUE,"RIESGO DE FRAUDE","")</f>
        <v/>
      </c>
      <c r="J184" s="368"/>
    </row>
    <row r="185" spans="1:10" ht="15.6">
      <c r="A185" s="370"/>
      <c r="B185" s="357"/>
      <c r="C185" s="357"/>
      <c r="D185" s="357"/>
      <c r="E185" s="357"/>
      <c r="F185" s="357"/>
      <c r="G185" s="357"/>
      <c r="H185" s="357"/>
      <c r="I185" s="392" t="str">
        <f>IF(A186=$A$496,"NO",IF(A186=$A$498,"NO","SI"))</f>
        <v>NO</v>
      </c>
      <c r="J185" s="357"/>
    </row>
    <row r="186" spans="1:10">
      <c r="A186" s="1" t="str">
        <f>IF(I184="RIESGO DE FRAUDE",$A$495,IF(ABS(C189)&gt;E189,$A$497,IF(ABS(D189)&gt;E189,$A$499,IF(B189+C189=0,$A$496,$A$498))))</f>
        <v>NO APLICABLE</v>
      </c>
      <c r="B186" s="1"/>
      <c r="C186" s="1"/>
      <c r="D186" s="1"/>
      <c r="E186" s="1"/>
      <c r="F186" s="1"/>
      <c r="G186" s="1"/>
      <c r="H186" s="1"/>
      <c r="I186" s="1"/>
      <c r="J186" s="1"/>
    </row>
    <row r="187" spans="1:10">
      <c r="A187" s="2"/>
      <c r="B187" s="371"/>
      <c r="C187" s="371"/>
      <c r="D187" s="371"/>
      <c r="E187" s="2"/>
      <c r="F187" s="2"/>
      <c r="G187" s="2"/>
      <c r="H187" s="2"/>
      <c r="I187" s="2"/>
      <c r="J187" s="2"/>
    </row>
    <row r="188" spans="1:10">
      <c r="A188" s="2"/>
      <c r="B188" s="372" t="s">
        <v>955</v>
      </c>
      <c r="C188" s="372" t="s">
        <v>956</v>
      </c>
      <c r="D188" s="372" t="s">
        <v>957</v>
      </c>
      <c r="E188" s="373" t="s">
        <v>958</v>
      </c>
      <c r="F188" s="2"/>
      <c r="G188" s="2"/>
      <c r="H188" s="2"/>
      <c r="I188" s="2"/>
      <c r="J188" s="2"/>
    </row>
    <row r="189" spans="1:10">
      <c r="A189" s="374"/>
      <c r="B189" s="375">
        <f>+'AG15.1.1'!K137</f>
        <v>0</v>
      </c>
      <c r="C189" s="375">
        <f>+'AG15.1.1'!I137</f>
        <v>0</v>
      </c>
      <c r="D189" s="376">
        <f>+C189-B189</f>
        <v>0</v>
      </c>
      <c r="E189" s="348">
        <f>+E!$B$6*E!$B$8</f>
        <v>159798.5202</v>
      </c>
      <c r="F189" s="357"/>
      <c r="G189" s="357"/>
      <c r="H189" s="357"/>
      <c r="I189" s="357"/>
      <c r="J189" s="357"/>
    </row>
    <row r="190" spans="1:10" ht="15.6">
      <c r="A190" s="370"/>
      <c r="B190" s="357"/>
      <c r="C190" s="357"/>
      <c r="D190" s="357"/>
      <c r="E190" s="357"/>
      <c r="F190" s="357"/>
      <c r="G190" s="357"/>
      <c r="H190" s="357"/>
      <c r="I190" s="357"/>
      <c r="J190" s="357"/>
    </row>
    <row r="191" spans="1:10" ht="15.6">
      <c r="A191" s="368" t="s">
        <v>982</v>
      </c>
      <c r="B191" s="369"/>
      <c r="C191" s="369"/>
      <c r="D191" s="369"/>
      <c r="E191" s="368"/>
      <c r="F191" s="368"/>
      <c r="G191" s="368"/>
      <c r="H191" s="368"/>
      <c r="I191" s="354" t="str">
        <f>IF(E!B485=TRUE,"RIESGO DE FRAUDE","")</f>
        <v/>
      </c>
      <c r="J191" s="368"/>
    </row>
    <row r="192" spans="1:10" ht="15.6">
      <c r="A192" s="370"/>
      <c r="B192" s="357"/>
      <c r="C192" s="357"/>
      <c r="D192" s="357"/>
      <c r="E192" s="357"/>
      <c r="F192" s="357"/>
      <c r="G192" s="357"/>
      <c r="H192" s="357"/>
      <c r="I192" s="392" t="str">
        <f>IF(A193=$A$496,"NO",IF(A193=$A$498,"NO","SI"))</f>
        <v>NO</v>
      </c>
      <c r="J192" s="357"/>
    </row>
    <row r="193" spans="1:10">
      <c r="A193" s="1" t="str">
        <f>IF(I191="RIESGO DE FRAUDE",$A$495,IF(ABS(C196)&gt;E196,$A$497,IF(ABS(D196)&gt;E196,$A$499,IF(B196+C196=0,$A$496,$A$498))))</f>
        <v>AREA POCO RELEVANTE. NO APLICAR PROCEDIMIENTOS DE AUDITORIA</v>
      </c>
      <c r="B193" s="1"/>
      <c r="C193" s="1"/>
      <c r="D193" s="1"/>
      <c r="E193" s="1"/>
      <c r="F193" s="1"/>
      <c r="G193" s="1"/>
      <c r="H193" s="1"/>
      <c r="I193" s="1"/>
      <c r="J193" s="1"/>
    </row>
    <row r="194" spans="1:10">
      <c r="A194" s="2"/>
      <c r="B194" s="371"/>
      <c r="C194" s="371"/>
      <c r="D194" s="371"/>
      <c r="E194" s="2"/>
      <c r="F194" s="2"/>
      <c r="G194" s="2"/>
      <c r="H194" s="2"/>
      <c r="I194" s="2"/>
      <c r="J194" s="2"/>
    </row>
    <row r="195" spans="1:10">
      <c r="A195" s="2"/>
      <c r="B195" s="372" t="s">
        <v>955</v>
      </c>
      <c r="C195" s="372" t="s">
        <v>956</v>
      </c>
      <c r="D195" s="372" t="s">
        <v>957</v>
      </c>
      <c r="E195" s="373" t="s">
        <v>958</v>
      </c>
      <c r="F195" s="2"/>
      <c r="G195" s="2"/>
      <c r="H195" s="2"/>
      <c r="I195" s="2"/>
      <c r="J195" s="2"/>
    </row>
    <row r="196" spans="1:10">
      <c r="A196" s="374"/>
      <c r="B196" s="375">
        <f>+'AG15.1.1'!K139</f>
        <v>36003.83</v>
      </c>
      <c r="C196" s="375">
        <f>+'AG15.1.1'!I139</f>
        <v>21045.47</v>
      </c>
      <c r="D196" s="376">
        <f>+C196-B196</f>
        <v>-14958.36</v>
      </c>
      <c r="E196" s="348">
        <f>+E!$B$6*E!$B$8</f>
        <v>159798.5202</v>
      </c>
      <c r="F196" s="357"/>
      <c r="G196" s="357"/>
      <c r="H196" s="357"/>
      <c r="I196" s="357"/>
      <c r="J196" s="357"/>
    </row>
    <row r="197" spans="1:10" ht="15.6">
      <c r="A197" s="370"/>
      <c r="B197" s="357"/>
      <c r="C197" s="357"/>
      <c r="D197" s="357"/>
      <c r="E197" s="357"/>
      <c r="F197" s="357"/>
      <c r="G197" s="357"/>
      <c r="H197" s="357"/>
      <c r="I197" s="357"/>
      <c r="J197" s="357"/>
    </row>
    <row r="198" spans="1:10" ht="15.6">
      <c r="A198" s="368" t="s">
        <v>983</v>
      </c>
      <c r="B198" s="369"/>
      <c r="C198" s="369"/>
      <c r="D198" s="369"/>
      <c r="E198" s="368"/>
      <c r="F198" s="368"/>
      <c r="G198" s="368"/>
      <c r="H198" s="368"/>
      <c r="I198" s="354" t="str">
        <f>IF(E!B486=TRUE,"RIESGO DE FRAUDE","")</f>
        <v/>
      </c>
      <c r="J198" s="368"/>
    </row>
    <row r="199" spans="1:10" ht="15.6">
      <c r="A199" s="379"/>
      <c r="B199" s="380"/>
      <c r="C199" s="380"/>
      <c r="D199" s="380"/>
      <c r="E199" s="379"/>
      <c r="F199" s="379"/>
      <c r="G199" s="379"/>
      <c r="H199" s="379"/>
      <c r="I199" s="392" t="str">
        <f>IF(A200=$A$496,"NO",IF(A200=$A$498,"NO","SI"))</f>
        <v>NO</v>
      </c>
      <c r="J199" s="379"/>
    </row>
    <row r="200" spans="1:10">
      <c r="A200" s="1" t="str">
        <f>IF(I198="RIESGO DE FRAUDE",$A$495,IF(ABS(C203)&gt;E203,$A$497,IF(ABS(D203)&gt;E203,$A$499,IF(B203+C203=0,$A$496,$A$498))))</f>
        <v>NO APLICABLE</v>
      </c>
      <c r="B200" s="1"/>
      <c r="C200" s="1"/>
      <c r="D200" s="1"/>
      <c r="E200" s="1"/>
      <c r="F200" s="1"/>
      <c r="G200" s="1"/>
      <c r="H200" s="1"/>
      <c r="I200" s="1"/>
      <c r="J200" s="1"/>
    </row>
    <row r="201" spans="1:10">
      <c r="A201" s="2"/>
      <c r="B201" s="371"/>
      <c r="C201" s="371"/>
      <c r="D201" s="371"/>
      <c r="E201" s="2"/>
      <c r="F201" s="2"/>
      <c r="G201" s="2"/>
      <c r="H201" s="2"/>
      <c r="I201" s="2"/>
      <c r="J201" s="2"/>
    </row>
    <row r="202" spans="1:10">
      <c r="A202" s="2"/>
      <c r="B202" s="372" t="s">
        <v>955</v>
      </c>
      <c r="C202" s="372" t="s">
        <v>956</v>
      </c>
      <c r="D202" s="372" t="s">
        <v>957</v>
      </c>
      <c r="E202" s="373" t="s">
        <v>958</v>
      </c>
      <c r="F202" s="2"/>
      <c r="G202" s="2"/>
      <c r="H202" s="2"/>
      <c r="I202" s="2"/>
      <c r="J202" s="2"/>
    </row>
    <row r="203" spans="1:10">
      <c r="A203" s="374"/>
      <c r="B203" s="375">
        <f>+'AG15.1.1'!K140</f>
        <v>0</v>
      </c>
      <c r="C203" s="375">
        <f>+'AG15.1.1'!I140</f>
        <v>0</v>
      </c>
      <c r="D203" s="376">
        <f>+C203-B203</f>
        <v>0</v>
      </c>
      <c r="E203" s="348">
        <f>+E!$B$6*E!$B$8</f>
        <v>159798.5202</v>
      </c>
      <c r="F203" s="357"/>
      <c r="G203" s="357"/>
      <c r="H203" s="357"/>
      <c r="I203" s="357"/>
      <c r="J203" s="357"/>
    </row>
    <row r="204" spans="1:10" ht="15.6">
      <c r="A204" s="370"/>
      <c r="B204" s="357"/>
      <c r="C204" s="357"/>
      <c r="D204" s="357"/>
      <c r="E204" s="357"/>
      <c r="F204" s="357"/>
      <c r="G204" s="357"/>
      <c r="H204" s="357"/>
      <c r="I204" s="357"/>
      <c r="J204" s="357"/>
    </row>
    <row r="205" spans="1:10" ht="15.6">
      <c r="A205" s="368" t="s">
        <v>984</v>
      </c>
      <c r="B205" s="369"/>
      <c r="C205" s="369"/>
      <c r="D205" s="369"/>
      <c r="E205" s="368"/>
      <c r="F205" s="368"/>
      <c r="G205" s="368"/>
      <c r="H205" s="368"/>
      <c r="I205" s="354" t="str">
        <f>IF(E!B487=TRUE,"RIESGO DE FRAUDE","")</f>
        <v/>
      </c>
      <c r="J205" s="368"/>
    </row>
    <row r="206" spans="1:10" ht="15.6">
      <c r="A206" s="370"/>
      <c r="B206" s="357"/>
      <c r="C206" s="357"/>
      <c r="D206" s="357"/>
      <c r="E206" s="357"/>
      <c r="F206" s="357"/>
      <c r="G206" s="357"/>
      <c r="H206" s="357"/>
      <c r="I206" s="392" t="str">
        <f>IF(A207=$A$496,"NO",IF(A207=$A$498,"NO","SI"))</f>
        <v>NO</v>
      </c>
      <c r="J206" s="357"/>
    </row>
    <row r="207" spans="1:10">
      <c r="A207" s="1" t="str">
        <f>IF(I205="RIESGO DE FRAUDE",$A$495,IF(ABS(C210)&gt;E210,$A$497,IF(ABS(D210)&gt;E210,$A$499,IF(B210+C210=0,$A$496,$A$498))))</f>
        <v>NO APLICABLE</v>
      </c>
      <c r="B207" s="1"/>
      <c r="C207" s="1"/>
      <c r="D207" s="1"/>
      <c r="E207" s="1"/>
      <c r="F207" s="1"/>
      <c r="G207" s="1"/>
      <c r="H207" s="1"/>
      <c r="I207" s="1"/>
      <c r="J207" s="1"/>
    </row>
    <row r="208" spans="1:10">
      <c r="A208" s="2"/>
      <c r="B208" s="371"/>
      <c r="C208" s="371"/>
      <c r="D208" s="371"/>
      <c r="E208" s="2"/>
      <c r="F208" s="2"/>
      <c r="G208" s="2"/>
      <c r="H208" s="2"/>
      <c r="I208" s="2"/>
      <c r="J208" s="2"/>
    </row>
    <row r="209" spans="1:10">
      <c r="A209" s="2"/>
      <c r="B209" s="372" t="s">
        <v>955</v>
      </c>
      <c r="C209" s="372" t="s">
        <v>956</v>
      </c>
      <c r="D209" s="372" t="s">
        <v>957</v>
      </c>
      <c r="E209" s="373" t="s">
        <v>958</v>
      </c>
      <c r="F209" s="2"/>
      <c r="G209" s="2"/>
      <c r="H209" s="2"/>
      <c r="I209" s="2"/>
      <c r="J209" s="2"/>
    </row>
    <row r="210" spans="1:10">
      <c r="A210" s="374"/>
      <c r="B210" s="375">
        <f>+'AG15.1.1'!K143</f>
        <v>0</v>
      </c>
      <c r="C210" s="375">
        <f>+'AG15.1.1'!I143</f>
        <v>0</v>
      </c>
      <c r="D210" s="376">
        <f>+C210-B210</f>
        <v>0</v>
      </c>
      <c r="E210" s="348">
        <f>+E!$B$6*E!$B$8</f>
        <v>159798.5202</v>
      </c>
      <c r="F210" s="357"/>
      <c r="G210" s="357"/>
      <c r="H210" s="357"/>
      <c r="I210" s="357"/>
      <c r="J210" s="357"/>
    </row>
    <row r="211" spans="1:10" ht="15.6">
      <c r="A211" s="370"/>
      <c r="B211" s="357"/>
      <c r="C211" s="357"/>
      <c r="D211" s="357"/>
      <c r="E211" s="357"/>
      <c r="F211" s="357"/>
      <c r="G211" s="357"/>
      <c r="H211" s="357"/>
      <c r="I211" s="357"/>
      <c r="J211" s="357"/>
    </row>
    <row r="212" spans="1:10" ht="15.6">
      <c r="A212" s="368" t="s">
        <v>985</v>
      </c>
      <c r="B212" s="369"/>
      <c r="C212" s="369"/>
      <c r="D212" s="369"/>
      <c r="E212" s="368"/>
      <c r="F212" s="368"/>
      <c r="G212" s="368"/>
      <c r="H212" s="368"/>
      <c r="I212" s="354" t="str">
        <f>IF(E!B488=TRUE,"RIESGO DE FRAUDE","")</f>
        <v/>
      </c>
      <c r="J212" s="368"/>
    </row>
    <row r="213" spans="1:10" ht="15.6">
      <c r="A213" s="370"/>
      <c r="B213" s="357"/>
      <c r="C213" s="357"/>
      <c r="D213" s="357"/>
      <c r="E213" s="357"/>
      <c r="F213" s="357"/>
      <c r="G213" s="357"/>
      <c r="H213" s="357"/>
      <c r="I213" s="392" t="str">
        <f>IF(A214=$A$496,"NO",IF(A214=$A$498,"NO","SI"))</f>
        <v>NO</v>
      </c>
      <c r="J213" s="357"/>
    </row>
    <row r="214" spans="1:10">
      <c r="A214" s="1" t="str">
        <f>IF(I212="RIESGO DE FRAUDE",$A$495,IF(ABS(C217)&gt;E217,$A$497,IF(ABS(D217)&gt;E217,$A$499,IF(B217+C217=0,$A$496,$A$498))))</f>
        <v>NO APLICABLE</v>
      </c>
      <c r="B214" s="1"/>
      <c r="C214" s="1"/>
      <c r="D214" s="1"/>
      <c r="E214" s="1"/>
      <c r="F214" s="1"/>
      <c r="G214" s="1"/>
      <c r="H214" s="1"/>
      <c r="I214" s="1"/>
      <c r="J214" s="1"/>
    </row>
    <row r="215" spans="1:10">
      <c r="A215" s="2"/>
      <c r="B215" s="371"/>
      <c r="C215" s="371"/>
      <c r="D215" s="371"/>
      <c r="E215" s="2"/>
      <c r="F215" s="2"/>
      <c r="G215" s="2"/>
      <c r="H215" s="2"/>
      <c r="I215" s="2"/>
      <c r="J215" s="2"/>
    </row>
    <row r="216" spans="1:10">
      <c r="A216" s="2"/>
      <c r="B216" s="372" t="s">
        <v>955</v>
      </c>
      <c r="C216" s="372" t="s">
        <v>956</v>
      </c>
      <c r="D216" s="372" t="s">
        <v>957</v>
      </c>
      <c r="E216" s="373" t="s">
        <v>958</v>
      </c>
      <c r="F216" s="2"/>
      <c r="G216" s="2"/>
      <c r="H216" s="2"/>
      <c r="I216" s="2"/>
      <c r="J216" s="2"/>
    </row>
    <row r="217" spans="1:10">
      <c r="A217" s="374"/>
      <c r="B217" s="375">
        <f>+'AG15.1.1'!K149</f>
        <v>0</v>
      </c>
      <c r="C217" s="375">
        <f>+'AG15.1.1'!I149</f>
        <v>0</v>
      </c>
      <c r="D217" s="376">
        <f>+C217-B217</f>
        <v>0</v>
      </c>
      <c r="E217" s="348">
        <f>+E!$B$6*E!$B$8</f>
        <v>159798.5202</v>
      </c>
      <c r="F217" s="357"/>
      <c r="G217" s="357"/>
      <c r="H217" s="357"/>
      <c r="I217" s="357"/>
      <c r="J217" s="357"/>
    </row>
    <row r="218" spans="1:10" ht="15.6">
      <c r="A218" s="370"/>
      <c r="B218" s="357"/>
      <c r="C218" s="357"/>
      <c r="D218" s="357"/>
      <c r="E218" s="357"/>
      <c r="F218" s="357"/>
      <c r="G218" s="357"/>
      <c r="H218" s="357"/>
      <c r="I218" s="357"/>
      <c r="J218" s="357"/>
    </row>
    <row r="219" spans="1:10" ht="15.6">
      <c r="A219" s="368" t="s">
        <v>986</v>
      </c>
      <c r="B219" s="369"/>
      <c r="C219" s="369"/>
      <c r="D219" s="369"/>
      <c r="E219" s="368"/>
      <c r="F219" s="368"/>
      <c r="G219" s="368"/>
      <c r="H219" s="368"/>
      <c r="I219" s="354" t="str">
        <f>IF(E!B489=TRUE,"RIESGO DE FRAUDE","")</f>
        <v/>
      </c>
      <c r="J219" s="368"/>
    </row>
    <row r="220" spans="1:10" ht="15.6">
      <c r="A220" s="379"/>
      <c r="B220" s="380"/>
      <c r="C220" s="380"/>
      <c r="D220" s="380"/>
      <c r="E220" s="379"/>
      <c r="F220" s="379"/>
      <c r="G220" s="379"/>
      <c r="H220" s="379"/>
      <c r="I220" s="392" t="str">
        <f>IF(A221=$A$496,"NO",IF(A221=$A$498,"NO","SI"))</f>
        <v>SI</v>
      </c>
      <c r="J220" s="379"/>
    </row>
    <row r="221" spans="1:10">
      <c r="A221" s="1" t="str">
        <f>IF(I219="RIESGO DE FRAUDE",$A$495,IF(ABS(C224)&gt;E224,$A$497,IF(ABS(D224)&gt;E224,$A$499,IF(B224+C224=0,$A$496,$A$498))))</f>
        <v>APLICAR PROCEDIMIENTOS DE CONTROL PARA ESTA AREA; EL SALDO SUPERA EL NIVEL DE PRECISION</v>
      </c>
      <c r="B221" s="1"/>
      <c r="C221" s="1"/>
      <c r="D221" s="1"/>
      <c r="E221" s="1"/>
      <c r="F221" s="1"/>
      <c r="G221" s="1"/>
      <c r="H221" s="1"/>
      <c r="I221" s="1"/>
      <c r="J221" s="1"/>
    </row>
    <row r="222" spans="1:10">
      <c r="A222" s="2"/>
      <c r="B222" s="371"/>
      <c r="C222" s="371"/>
      <c r="D222" s="371"/>
      <c r="E222" s="2"/>
      <c r="F222" s="2"/>
      <c r="G222" s="2"/>
      <c r="H222" s="2"/>
      <c r="I222" s="2"/>
      <c r="J222" s="2"/>
    </row>
    <row r="223" spans="1:10">
      <c r="A223" s="2"/>
      <c r="B223" s="372" t="s">
        <v>955</v>
      </c>
      <c r="C223" s="372" t="s">
        <v>956</v>
      </c>
      <c r="D223" s="372" t="s">
        <v>957</v>
      </c>
      <c r="E223" s="373" t="s">
        <v>958</v>
      </c>
      <c r="F223" s="2"/>
      <c r="G223" s="2"/>
      <c r="H223" s="2"/>
      <c r="I223" s="2"/>
      <c r="J223" s="2"/>
    </row>
    <row r="224" spans="1:10">
      <c r="A224" s="374"/>
      <c r="B224" s="375">
        <f>+'AG15.1.1'!K150</f>
        <v>343678.63</v>
      </c>
      <c r="C224" s="375">
        <f>+'AG15.1.1'!I150</f>
        <v>402592.57999999996</v>
      </c>
      <c r="D224" s="376">
        <f>+C224-B224</f>
        <v>58913.949999999953</v>
      </c>
      <c r="E224" s="348">
        <f>+E!$B$6*E!$B$8</f>
        <v>159798.5202</v>
      </c>
      <c r="F224" s="357"/>
      <c r="G224" s="357"/>
      <c r="H224" s="357"/>
      <c r="I224" s="357"/>
      <c r="J224" s="357"/>
    </row>
    <row r="225" spans="1:10" ht="15.6">
      <c r="A225" s="370"/>
      <c r="B225" s="357"/>
      <c r="C225" s="357"/>
      <c r="D225" s="357"/>
      <c r="E225" s="357"/>
      <c r="F225" s="357"/>
      <c r="G225" s="357"/>
      <c r="H225" s="357"/>
      <c r="I225" s="357"/>
      <c r="J225" s="357"/>
    </row>
    <row r="226" spans="1:10" ht="15.6">
      <c r="A226" s="368" t="s">
        <v>987</v>
      </c>
      <c r="B226" s="369"/>
      <c r="C226" s="369"/>
      <c r="D226" s="369"/>
      <c r="E226" s="368"/>
      <c r="F226" s="368"/>
      <c r="G226" s="368"/>
      <c r="H226" s="368"/>
      <c r="I226" s="354" t="str">
        <f>IF(E!B490=TRUE,"RIESGO DE FRAUDE","")</f>
        <v/>
      </c>
      <c r="J226" s="368"/>
    </row>
    <row r="227" spans="1:10" ht="15.6">
      <c r="A227" s="370"/>
      <c r="B227" s="357"/>
      <c r="C227" s="357"/>
      <c r="D227" s="357"/>
      <c r="E227" s="357"/>
      <c r="F227" s="357"/>
      <c r="G227" s="357"/>
      <c r="H227" s="357"/>
      <c r="I227" s="392" t="str">
        <f>IF(A228=$A$496,"NO",IF(A228=$A$498,"NO","SI"))</f>
        <v>SI</v>
      </c>
      <c r="J227" s="357"/>
    </row>
    <row r="228" spans="1:10">
      <c r="A228" s="1" t="str">
        <f>IF(I226="RIESGO DE FRAUDE",$A$495,IF(ABS(C231)&gt;E231,$A$497,IF(ABS(D231)&gt;E231,$A$499,IF(B231+C231=0,$A$496,$A$498))))</f>
        <v>APLICAR PROCEDIMIENTOS DE CONTROL PARA ESTA AREA; EL SALDO SUPERA EL NIVEL DE PRECISION</v>
      </c>
      <c r="B228" s="1"/>
      <c r="C228" s="1"/>
      <c r="D228" s="1"/>
      <c r="E228" s="1"/>
      <c r="F228" s="1"/>
      <c r="G228" s="1"/>
      <c r="H228" s="1"/>
      <c r="I228" s="1"/>
      <c r="J228" s="1"/>
    </row>
    <row r="229" spans="1:10">
      <c r="A229" s="2"/>
      <c r="B229" s="371"/>
      <c r="C229" s="371"/>
      <c r="D229" s="371"/>
      <c r="E229" s="2"/>
      <c r="F229" s="2"/>
      <c r="G229" s="2"/>
      <c r="H229" s="2"/>
      <c r="I229" s="2"/>
      <c r="J229" s="2"/>
    </row>
    <row r="230" spans="1:10">
      <c r="A230" s="2"/>
      <c r="B230" s="372" t="s">
        <v>955</v>
      </c>
      <c r="C230" s="372" t="s">
        <v>956</v>
      </c>
      <c r="D230" s="372" t="s">
        <v>957</v>
      </c>
      <c r="E230" s="373" t="s">
        <v>958</v>
      </c>
      <c r="F230" s="2"/>
      <c r="G230" s="2"/>
      <c r="H230" s="2"/>
      <c r="I230" s="2"/>
      <c r="J230" s="2"/>
    </row>
    <row r="231" spans="1:10">
      <c r="A231" s="374"/>
      <c r="B231" s="375">
        <f>+'AG15.1.1'!K158</f>
        <v>0</v>
      </c>
      <c r="C231" s="375">
        <f>+'AG15.1.1'!I158</f>
        <v>350706.7</v>
      </c>
      <c r="D231" s="376">
        <f>+C231-B231</f>
        <v>350706.7</v>
      </c>
      <c r="E231" s="348">
        <f>+E!$B$6*E!$B$8</f>
        <v>159798.5202</v>
      </c>
      <c r="F231" s="357"/>
      <c r="G231" s="357"/>
      <c r="H231" s="357"/>
      <c r="I231" s="357"/>
      <c r="J231" s="357"/>
    </row>
    <row r="232" spans="1:10" ht="15.6">
      <c r="A232" s="370"/>
      <c r="B232" s="381"/>
      <c r="C232" s="357"/>
      <c r="D232" s="357"/>
      <c r="E232" s="357"/>
      <c r="F232" s="357"/>
      <c r="G232" s="357"/>
      <c r="H232" s="357"/>
      <c r="I232" s="357"/>
      <c r="J232" s="357"/>
    </row>
    <row r="233" spans="1:10" ht="15.6">
      <c r="A233" s="368" t="s">
        <v>988</v>
      </c>
      <c r="B233" s="369"/>
      <c r="C233" s="369"/>
      <c r="D233" s="369"/>
      <c r="E233" s="368"/>
      <c r="F233" s="368"/>
      <c r="G233" s="368"/>
      <c r="H233" s="368"/>
      <c r="I233" s="354" t="str">
        <f>IF(E!B491=TRUE,"RIESGO DE FRAUDE","")</f>
        <v/>
      </c>
      <c r="J233" s="368"/>
    </row>
    <row r="234" spans="1:10" ht="15.6">
      <c r="A234" s="370"/>
      <c r="B234" s="357"/>
      <c r="C234" s="357"/>
      <c r="D234" s="357"/>
      <c r="E234" s="357"/>
      <c r="F234" s="357"/>
      <c r="G234" s="357"/>
      <c r="H234" s="357"/>
      <c r="I234" s="392" t="str">
        <f>IF(A235=$A$496,"NO",IF(A235=$A$498,"NO","SI"))</f>
        <v>NO</v>
      </c>
      <c r="J234" s="357"/>
    </row>
    <row r="235" spans="1:10">
      <c r="A235" s="1" t="str">
        <f>IF(I233="RIESGO DE FRAUDE",$A$495,IF(ABS(C238)&gt;E238,$A$497,IF(ABS(D238)&gt;E238,$A$499,IF(B238+C238=0,$A$496,$A$498))))</f>
        <v>NO APLICABLE</v>
      </c>
      <c r="B235" s="1"/>
      <c r="C235" s="1"/>
      <c r="D235" s="1"/>
      <c r="E235" s="1"/>
      <c r="F235" s="1"/>
      <c r="G235" s="1"/>
      <c r="H235" s="1"/>
      <c r="I235" s="1"/>
      <c r="J235" s="1"/>
    </row>
    <row r="236" spans="1:10">
      <c r="A236" s="2"/>
      <c r="B236" s="371"/>
      <c r="C236" s="371"/>
      <c r="D236" s="371"/>
      <c r="E236" s="2"/>
      <c r="F236" s="2"/>
      <c r="G236" s="2"/>
      <c r="H236" s="2"/>
      <c r="I236" s="2"/>
      <c r="J236" s="2"/>
    </row>
    <row r="237" spans="1:10">
      <c r="A237" s="2"/>
      <c r="B237" s="372" t="s">
        <v>955</v>
      </c>
      <c r="C237" s="372" t="s">
        <v>956</v>
      </c>
      <c r="D237" s="372" t="s">
        <v>957</v>
      </c>
      <c r="E237" s="373" t="s">
        <v>958</v>
      </c>
      <c r="F237" s="2"/>
      <c r="G237" s="2"/>
      <c r="H237" s="2"/>
      <c r="I237" s="2"/>
      <c r="J237" s="2"/>
    </row>
    <row r="238" spans="1:10">
      <c r="A238" s="374"/>
      <c r="B238" s="375">
        <f>+'AG15.1.1'!K159</f>
        <v>0</v>
      </c>
      <c r="C238" s="375">
        <f>+'AG15.1.1'!I159</f>
        <v>0</v>
      </c>
      <c r="D238" s="376">
        <f>+C238-B238</f>
        <v>0</v>
      </c>
      <c r="E238" s="348">
        <f>+E!$B$6*E!$B$8</f>
        <v>159798.5202</v>
      </c>
      <c r="F238" s="357"/>
      <c r="G238" s="357"/>
      <c r="H238" s="357"/>
      <c r="I238" s="357"/>
      <c r="J238" s="357"/>
    </row>
    <row r="239" spans="1:10" ht="15.6">
      <c r="A239" s="370"/>
      <c r="B239" s="381"/>
      <c r="C239" s="357"/>
      <c r="D239" s="357"/>
      <c r="E239" s="357"/>
      <c r="F239" s="357"/>
      <c r="G239" s="357"/>
      <c r="H239" s="357"/>
      <c r="I239" s="357"/>
      <c r="J239" s="357"/>
    </row>
    <row r="240" spans="1:10" ht="15.6">
      <c r="A240" s="368" t="s">
        <v>989</v>
      </c>
      <c r="B240" s="369"/>
      <c r="C240" s="369"/>
      <c r="D240" s="369"/>
      <c r="E240" s="368"/>
      <c r="F240" s="368"/>
      <c r="G240" s="368"/>
      <c r="H240" s="368"/>
      <c r="I240" s="368"/>
      <c r="J240" s="368"/>
    </row>
    <row r="241" spans="1:10" ht="15.6">
      <c r="A241" s="370"/>
      <c r="B241" s="357"/>
      <c r="C241" s="357"/>
      <c r="D241" s="357"/>
      <c r="E241" s="357"/>
      <c r="F241" s="357"/>
      <c r="G241" s="357"/>
      <c r="H241" s="357"/>
      <c r="I241" s="357"/>
      <c r="J241" s="357"/>
    </row>
    <row r="242" spans="1:10" ht="15.6">
      <c r="A242" s="370"/>
      <c r="B242" s="357"/>
      <c r="C242" s="357"/>
      <c r="D242" s="357"/>
      <c r="E242" s="357"/>
      <c r="F242" s="357"/>
      <c r="G242" s="357"/>
      <c r="H242" s="357"/>
      <c r="I242" s="357"/>
      <c r="J242" s="357"/>
    </row>
    <row r="243" spans="1:10" ht="15.6">
      <c r="A243" s="368" t="s">
        <v>990</v>
      </c>
      <c r="B243" s="369"/>
      <c r="C243" s="369"/>
      <c r="D243" s="369"/>
      <c r="E243" s="368"/>
      <c r="F243" s="368"/>
      <c r="G243" s="368"/>
      <c r="H243" s="368"/>
      <c r="I243" s="354" t="str">
        <f>IF(E!B492=TRUE,"RIESGO DE FRAUDE","")</f>
        <v/>
      </c>
      <c r="J243" s="368"/>
    </row>
    <row r="244" spans="1:10" ht="15.6">
      <c r="A244" s="379"/>
      <c r="B244" s="380"/>
      <c r="C244" s="380"/>
      <c r="D244" s="380"/>
      <c r="E244" s="379"/>
      <c r="F244" s="379"/>
      <c r="G244" s="379"/>
      <c r="H244" s="379"/>
      <c r="I244" s="392" t="str">
        <f>IF(A245=$A$496,"NO",IF(A245=$A$498,"NO","SI"))</f>
        <v>SI</v>
      </c>
      <c r="J244" s="379"/>
    </row>
    <row r="245" spans="1:10">
      <c r="A245" s="1" t="str">
        <f>IF(I243="RIESGO DE FRAUDE",$A$495,IF(ABS(C248)&gt;E248,$A$497,IF(ABS(D248)&gt;E248,$A$499,IF(B248+C248=0,$A$496,$A$498))))</f>
        <v>APLICAR PROCEDIMIENTOS DE CONTROL PARA ESTA AREA; EL SALDO SUPERA EL NIVEL DE PRECISION</v>
      </c>
      <c r="B245" s="1"/>
      <c r="C245" s="1"/>
      <c r="D245" s="1"/>
      <c r="E245" s="1"/>
      <c r="F245" s="1"/>
      <c r="G245" s="1"/>
      <c r="H245" s="1"/>
      <c r="I245" s="1"/>
      <c r="J245" s="1"/>
    </row>
    <row r="246" spans="1:10">
      <c r="A246" s="2"/>
      <c r="B246" s="371"/>
      <c r="C246" s="371"/>
      <c r="D246" s="371"/>
      <c r="E246" s="2"/>
      <c r="F246" s="2"/>
      <c r="G246" s="2"/>
      <c r="H246" s="2"/>
      <c r="I246" s="2"/>
      <c r="J246" s="2"/>
    </row>
    <row r="247" spans="1:10">
      <c r="A247" s="2"/>
      <c r="B247" s="372" t="s">
        <v>955</v>
      </c>
      <c r="C247" s="372" t="s">
        <v>956</v>
      </c>
      <c r="D247" s="372" t="s">
        <v>957</v>
      </c>
      <c r="E247" s="373" t="s">
        <v>958</v>
      </c>
      <c r="F247" s="2"/>
      <c r="G247" s="2"/>
      <c r="H247" s="2"/>
      <c r="I247" s="2"/>
      <c r="J247" s="2"/>
    </row>
    <row r="248" spans="1:10">
      <c r="A248" s="374"/>
      <c r="B248" s="376">
        <f>+'AG15.1.2'!H21</f>
        <v>1378384.08</v>
      </c>
      <c r="C248" s="376">
        <f>+'AG15.1.2'!E21</f>
        <v>1045348.7100000001</v>
      </c>
      <c r="D248" s="376">
        <f>+C248-B248</f>
        <v>-333035.37</v>
      </c>
      <c r="E248" s="348">
        <f>+E!$B$6*E!$B$8</f>
        <v>159798.5202</v>
      </c>
      <c r="F248" s="357"/>
      <c r="G248" s="357"/>
      <c r="H248" s="357"/>
      <c r="I248" s="357"/>
      <c r="J248" s="357"/>
    </row>
    <row r="249" spans="1:10" ht="15.6">
      <c r="A249" s="379"/>
      <c r="B249" s="380"/>
      <c r="C249" s="380"/>
      <c r="D249" s="380"/>
      <c r="E249" s="379"/>
      <c r="F249" s="379"/>
      <c r="G249" s="379"/>
      <c r="H249" s="379"/>
      <c r="I249" s="379"/>
      <c r="J249" s="379"/>
    </row>
    <row r="250" spans="1:10" ht="15.6">
      <c r="A250" s="368" t="s">
        <v>991</v>
      </c>
      <c r="B250" s="380"/>
      <c r="C250" s="380"/>
      <c r="D250" s="380"/>
      <c r="E250" s="379"/>
      <c r="F250" s="379"/>
      <c r="G250" s="379"/>
      <c r="H250" s="379"/>
      <c r="I250" s="354" t="str">
        <f>IF(E!B493=TRUE,"RIESGO DE FRAUDE","")</f>
        <v/>
      </c>
      <c r="J250" s="379"/>
    </row>
    <row r="251" spans="1:10" ht="15.6">
      <c r="A251" s="379"/>
      <c r="B251" s="380"/>
      <c r="C251" s="380"/>
      <c r="D251" s="380"/>
      <c r="E251" s="379"/>
      <c r="F251" s="379"/>
      <c r="G251" s="379"/>
      <c r="H251" s="379"/>
      <c r="I251" s="392" t="str">
        <f>IF(A252=$A$496,"NO",IF(A252=$A$498,"NO","SI"))</f>
        <v>SI</v>
      </c>
      <c r="J251" s="379"/>
    </row>
    <row r="252" spans="1:10">
      <c r="A252" s="1" t="str">
        <f>IF(I250="RIESGO DE FRAUDE",$A$495,IF(ABS(C255)&gt;E255,$A$497,IF(ABS(D255)&gt;E255,$A$499,IF(B255+C255=0,$A$496,$A$498))))</f>
        <v>APLICAR PROCEDIMIENTOS DE CONTROL PARA ESTA AREA; EL SALDO SUPERA EL NIVEL DE PRECISION</v>
      </c>
      <c r="B252" s="1"/>
      <c r="C252" s="1"/>
      <c r="D252" s="1"/>
      <c r="E252" s="1"/>
      <c r="F252" s="1"/>
      <c r="G252" s="1"/>
      <c r="H252" s="1"/>
      <c r="I252" s="1"/>
      <c r="J252" s="1"/>
    </row>
    <row r="253" spans="1:10">
      <c r="A253" s="2"/>
      <c r="B253" s="371"/>
      <c r="C253" s="371"/>
      <c r="D253" s="371"/>
      <c r="E253" s="2"/>
      <c r="F253" s="2"/>
      <c r="G253" s="2"/>
      <c r="H253" s="2"/>
      <c r="I253" s="2"/>
      <c r="J253" s="2"/>
    </row>
    <row r="254" spans="1:10">
      <c r="A254" s="2"/>
      <c r="B254" s="372" t="s">
        <v>955</v>
      </c>
      <c r="C254" s="372" t="s">
        <v>956</v>
      </c>
      <c r="D254" s="372" t="s">
        <v>957</v>
      </c>
      <c r="E254" s="373" t="s">
        <v>958</v>
      </c>
      <c r="F254" s="2"/>
      <c r="G254" s="2"/>
      <c r="H254" s="2"/>
      <c r="I254" s="2"/>
      <c r="J254" s="2"/>
    </row>
    <row r="255" spans="1:10">
      <c r="A255" s="374"/>
      <c r="B255" s="376">
        <f>+'AG15.1.2'!H25</f>
        <v>0</v>
      </c>
      <c r="C255" s="376">
        <f>+'AG15.1.2'!E25</f>
        <v>-171182.56</v>
      </c>
      <c r="D255" s="376">
        <f>+C255-B255</f>
        <v>-171182.56</v>
      </c>
      <c r="E255" s="348">
        <f>+E!$B$6*E!$B$8</f>
        <v>159798.5202</v>
      </c>
      <c r="F255" s="357"/>
      <c r="G255" s="357"/>
      <c r="H255" s="357"/>
      <c r="I255" s="357"/>
      <c r="J255" s="357"/>
    </row>
    <row r="256" spans="1:10" ht="15.6">
      <c r="A256" s="370"/>
      <c r="B256" s="357"/>
      <c r="C256" s="357"/>
      <c r="D256" s="357"/>
      <c r="E256" s="357"/>
      <c r="F256" s="357"/>
      <c r="G256" s="357"/>
      <c r="H256" s="357"/>
      <c r="I256" s="357"/>
      <c r="J256" s="357"/>
    </row>
    <row r="257" spans="1:10" ht="15.6">
      <c r="A257" s="368" t="s">
        <v>992</v>
      </c>
      <c r="B257" s="369"/>
      <c r="C257" s="369"/>
      <c r="D257" s="369"/>
      <c r="E257" s="368"/>
      <c r="F257" s="368"/>
      <c r="G257" s="368"/>
      <c r="H257" s="368"/>
      <c r="I257" s="354" t="str">
        <f>IF(E!B494=TRUE,"RIESGO DE FRAUDE","")</f>
        <v/>
      </c>
      <c r="J257" s="368"/>
    </row>
    <row r="258" spans="1:10" ht="15.6">
      <c r="A258" s="370"/>
      <c r="B258" s="357"/>
      <c r="C258" s="357"/>
      <c r="D258" s="357"/>
      <c r="E258" s="357"/>
      <c r="F258" s="357"/>
      <c r="G258" s="357"/>
      <c r="H258" s="357"/>
      <c r="I258" s="392" t="str">
        <f>IF(A259=$A$496,"NO",IF(A259=$A$498,"NO","SI"))</f>
        <v>NO</v>
      </c>
      <c r="J258" s="357"/>
    </row>
    <row r="259" spans="1:10">
      <c r="A259" s="1" t="str">
        <f>IF(I257="RIESGO DE FRAUDE",$A$495,IF(ABS(C262)&gt;E262,$A$497,IF(ABS(D262)&gt;E262,$A$499,IF(B262+C262=0,$A$496,$A$498))))</f>
        <v>NO APLICABLE</v>
      </c>
      <c r="B259" s="1"/>
      <c r="C259" s="1"/>
      <c r="D259" s="1"/>
      <c r="E259" s="1"/>
      <c r="F259" s="1"/>
      <c r="G259" s="1"/>
      <c r="H259" s="1"/>
      <c r="I259" s="1"/>
      <c r="J259" s="1"/>
    </row>
    <row r="260" spans="1:10">
      <c r="A260" s="2"/>
      <c r="B260" s="371"/>
      <c r="C260" s="371"/>
      <c r="D260" s="371"/>
      <c r="E260" s="2"/>
      <c r="F260" s="2"/>
      <c r="G260" s="2"/>
      <c r="H260" s="2"/>
      <c r="I260" s="2"/>
      <c r="J260" s="2"/>
    </row>
    <row r="261" spans="1:10">
      <c r="A261" s="2"/>
      <c r="B261" s="372" t="s">
        <v>955</v>
      </c>
      <c r="C261" s="372" t="s">
        <v>956</v>
      </c>
      <c r="D261" s="372" t="s">
        <v>957</v>
      </c>
      <c r="E261" s="373" t="s">
        <v>958</v>
      </c>
      <c r="F261" s="2"/>
      <c r="G261" s="2"/>
      <c r="H261" s="2"/>
      <c r="I261" s="2"/>
      <c r="J261" s="2"/>
    </row>
    <row r="262" spans="1:10">
      <c r="A262" s="374"/>
      <c r="B262" s="376">
        <f>+'AG15.1.2'!H26</f>
        <v>0</v>
      </c>
      <c r="C262" s="376">
        <f>+'AG15.1.2'!E26</f>
        <v>0</v>
      </c>
      <c r="D262" s="376">
        <f>+C262-B262</f>
        <v>0</v>
      </c>
      <c r="E262" s="348">
        <f>+E!$B$6*E!$B$8</f>
        <v>159798.5202</v>
      </c>
      <c r="F262" s="357"/>
      <c r="G262" s="357"/>
      <c r="H262" s="357"/>
      <c r="I262" s="357"/>
      <c r="J262" s="357"/>
    </row>
    <row r="263" spans="1:10" ht="15.6">
      <c r="A263" s="370"/>
      <c r="B263" s="357"/>
      <c r="C263" s="357"/>
      <c r="D263" s="357"/>
      <c r="E263" s="357"/>
      <c r="F263" s="357"/>
      <c r="G263" s="357"/>
      <c r="H263" s="357"/>
      <c r="I263" s="357"/>
      <c r="J263" s="357"/>
    </row>
    <row r="264" spans="1:10" ht="15.6">
      <c r="A264" s="368" t="s">
        <v>993</v>
      </c>
      <c r="B264" s="369"/>
      <c r="C264" s="369"/>
      <c r="D264" s="369"/>
      <c r="E264" s="368"/>
      <c r="F264" s="368"/>
      <c r="G264" s="368"/>
      <c r="H264" s="368"/>
      <c r="I264" s="354" t="str">
        <f>IF(E!B495=TRUE,"RIESGO DE FRAUDE","")</f>
        <v/>
      </c>
      <c r="J264" s="368"/>
    </row>
    <row r="265" spans="1:10" ht="15.6">
      <c r="A265" s="370"/>
      <c r="B265" s="357"/>
      <c r="C265" s="357"/>
      <c r="D265" s="357"/>
      <c r="E265" s="357"/>
      <c r="F265" s="357"/>
      <c r="G265" s="357"/>
      <c r="H265" s="357"/>
      <c r="I265" s="392" t="str">
        <f>IF(A266=$A$496,"NO",IF(A266=$A$498,"NO","SI"))</f>
        <v>NO</v>
      </c>
      <c r="J265" s="357"/>
    </row>
    <row r="266" spans="1:10">
      <c r="A266" s="1" t="str">
        <f>IF(I264="RIESGO DE FRAUDE",$A$495,IF(ABS(C269)&gt;E269,$A$497,IF(ABS(D269)&gt;E269,$A$499,IF(B269+C269=0,$A$496,$A$498))))</f>
        <v>AREA POCO RELEVANTE. NO APLICAR PROCEDIMIENTOS DE AUDITORIA</v>
      </c>
      <c r="B266" s="1"/>
      <c r="C266" s="1"/>
      <c r="D266" s="1"/>
      <c r="E266" s="1"/>
      <c r="F266" s="1"/>
      <c r="G266" s="1"/>
      <c r="H266" s="1"/>
      <c r="I266" s="1"/>
      <c r="J266" s="1"/>
    </row>
    <row r="267" spans="1:10">
      <c r="A267" s="2"/>
      <c r="B267" s="371"/>
      <c r="C267" s="371"/>
      <c r="D267" s="371"/>
      <c r="E267" s="2"/>
      <c r="F267" s="2"/>
      <c r="G267" s="2"/>
      <c r="H267" s="2"/>
      <c r="I267" s="2"/>
      <c r="J267" s="2"/>
    </row>
    <row r="268" spans="1:10">
      <c r="A268" s="2"/>
      <c r="B268" s="372" t="s">
        <v>955</v>
      </c>
      <c r="C268" s="372" t="s">
        <v>956</v>
      </c>
      <c r="D268" s="372" t="s">
        <v>957</v>
      </c>
      <c r="E268" s="373" t="s">
        <v>958</v>
      </c>
      <c r="F268" s="2"/>
      <c r="G268" s="2"/>
      <c r="H268" s="2"/>
      <c r="I268" s="2"/>
      <c r="J268" s="2"/>
    </row>
    <row r="269" spans="1:10">
      <c r="A269" s="374"/>
      <c r="B269" s="376">
        <f>+'AG15.1.2'!H32</f>
        <v>52222.81</v>
      </c>
      <c r="C269" s="376">
        <f>+'AG15.1.2'!E32</f>
        <v>56981.440000000002</v>
      </c>
      <c r="D269" s="376">
        <f>+C269-B269</f>
        <v>4758.6300000000047</v>
      </c>
      <c r="E269" s="348">
        <f>+E!$B$6*E!$B$8</f>
        <v>159798.5202</v>
      </c>
      <c r="F269" s="357"/>
      <c r="G269" s="357"/>
      <c r="H269" s="357"/>
      <c r="I269" s="357"/>
      <c r="J269" s="357"/>
    </row>
    <row r="270" spans="1:10" ht="15.6">
      <c r="A270" s="370"/>
      <c r="B270" s="357"/>
      <c r="C270" s="357"/>
      <c r="D270" s="357"/>
      <c r="E270" s="357"/>
      <c r="F270" s="357"/>
      <c r="G270" s="357"/>
      <c r="H270" s="357"/>
      <c r="I270" s="357"/>
      <c r="J270" s="357"/>
    </row>
    <row r="271" spans="1:10" ht="15.6">
      <c r="A271" s="368" t="s">
        <v>994</v>
      </c>
      <c r="B271" s="357"/>
      <c r="C271" s="357"/>
      <c r="D271" s="357"/>
      <c r="E271" s="357"/>
      <c r="F271" s="357"/>
      <c r="G271" s="357"/>
      <c r="H271" s="357"/>
      <c r="I271" s="354" t="str">
        <f>IF(E!B496=TRUE,"RIESGO DE FRAUDE","")</f>
        <v/>
      </c>
      <c r="J271" s="357"/>
    </row>
    <row r="272" spans="1:10" ht="15.6">
      <c r="A272" s="370"/>
      <c r="B272" s="357"/>
      <c r="C272" s="357"/>
      <c r="D272" s="357"/>
      <c r="E272" s="357"/>
      <c r="F272" s="357"/>
      <c r="G272" s="357"/>
      <c r="H272" s="357"/>
      <c r="I272" s="392" t="str">
        <f>IF(A273=$A$496,"NO",IF(A273=$A$498,"NO","SI"))</f>
        <v>NO</v>
      </c>
      <c r="J272" s="357"/>
    </row>
    <row r="273" spans="1:10">
      <c r="A273" s="1" t="str">
        <f>IF(I271="RIESGO DE FRAUDE",$A$495,IF(ABS(C276)&gt;E276,$A$497,IF(ABS(D276)&gt;E276,$A$499,IF(B276+C276=0,$A$496,$A$498))))</f>
        <v>AREA POCO RELEVANTE. NO APLICAR PROCEDIMIENTOS DE AUDITORIA</v>
      </c>
      <c r="B273" s="1"/>
      <c r="C273" s="1"/>
      <c r="D273" s="1"/>
      <c r="E273" s="1"/>
      <c r="F273" s="1"/>
      <c r="G273" s="1"/>
      <c r="H273" s="1"/>
      <c r="I273" s="1"/>
      <c r="J273" s="1"/>
    </row>
    <row r="274" spans="1:10">
      <c r="A274" s="2"/>
      <c r="B274" s="371"/>
      <c r="C274" s="371"/>
      <c r="D274" s="371"/>
      <c r="E274" s="2"/>
      <c r="F274" s="2"/>
      <c r="G274" s="2"/>
      <c r="H274" s="2"/>
      <c r="I274" s="2"/>
      <c r="J274" s="2"/>
    </row>
    <row r="275" spans="1:10">
      <c r="A275" s="2"/>
      <c r="B275" s="372" t="s">
        <v>955</v>
      </c>
      <c r="C275" s="372" t="s">
        <v>956</v>
      </c>
      <c r="D275" s="372" t="s">
        <v>957</v>
      </c>
      <c r="E275" s="373" t="s">
        <v>958</v>
      </c>
      <c r="F275" s="2"/>
      <c r="G275" s="2"/>
      <c r="H275" s="2"/>
      <c r="I275" s="2"/>
      <c r="J275" s="2"/>
    </row>
    <row r="276" spans="1:10">
      <c r="A276" s="374"/>
      <c r="B276" s="376">
        <f>+'AG15.1.2'!H46</f>
        <v>3950.63</v>
      </c>
      <c r="C276" s="376">
        <f>+'AG15.1.2'!E46</f>
        <v>2203.52</v>
      </c>
      <c r="D276" s="376">
        <f>+C276-B276</f>
        <v>-1747.1100000000001</v>
      </c>
      <c r="E276" s="348">
        <f>+E!$B$6*E!$B$8</f>
        <v>159798.5202</v>
      </c>
      <c r="F276" s="357"/>
      <c r="G276" s="357"/>
      <c r="H276" s="357"/>
      <c r="I276" s="357"/>
      <c r="J276" s="357"/>
    </row>
    <row r="277" spans="1:10" ht="15.6">
      <c r="A277" s="370"/>
      <c r="B277" s="357"/>
      <c r="C277" s="357"/>
      <c r="D277" s="357"/>
      <c r="E277" s="357"/>
      <c r="F277" s="357"/>
      <c r="G277" s="357"/>
      <c r="H277" s="357"/>
      <c r="I277" s="357"/>
      <c r="J277" s="357"/>
    </row>
    <row r="278" spans="1:10" ht="15.6">
      <c r="A278" s="368" t="s">
        <v>995</v>
      </c>
      <c r="B278" s="357"/>
      <c r="C278" s="357"/>
      <c r="D278" s="357"/>
      <c r="E278" s="357"/>
      <c r="F278" s="357"/>
      <c r="G278" s="357"/>
      <c r="H278" s="357"/>
      <c r="I278" s="354" t="str">
        <f>IF(E!B497=TRUE,"RIESGO DE FRAUDE","")</f>
        <v/>
      </c>
      <c r="J278" s="357"/>
    </row>
    <row r="279" spans="1:10" ht="15.6">
      <c r="A279" s="370"/>
      <c r="B279" s="357"/>
      <c r="C279" s="357"/>
      <c r="D279" s="357"/>
      <c r="E279" s="357"/>
      <c r="F279" s="357"/>
      <c r="G279" s="357"/>
      <c r="H279" s="357"/>
      <c r="I279" s="392" t="str">
        <f>IF(A280=$A$496,"NO",IF(A280=$A$498,"NO","SI"))</f>
        <v>NO</v>
      </c>
      <c r="J279" s="357"/>
    </row>
    <row r="280" spans="1:10">
      <c r="A280" s="1" t="str">
        <f>IF(I278="RIESGO DE FRAUDE",$A$495,IF(ABS(C283)&gt;E283,$A$497,IF(ABS(D283)&gt;E283,$A$499,IF(B283+C283=0,$A$496,$A$498))))</f>
        <v>NO APLICABLE</v>
      </c>
      <c r="B280" s="1"/>
      <c r="C280" s="1"/>
      <c r="D280" s="1"/>
      <c r="E280" s="1"/>
      <c r="F280" s="1"/>
      <c r="G280" s="1"/>
      <c r="H280" s="1"/>
      <c r="I280" s="1"/>
      <c r="J280" s="1"/>
    </row>
    <row r="281" spans="1:10">
      <c r="A281" s="2"/>
      <c r="B281" s="371"/>
      <c r="C281" s="371"/>
      <c r="D281" s="371"/>
      <c r="E281" s="2"/>
      <c r="F281" s="2"/>
      <c r="G281" s="2"/>
      <c r="H281" s="2"/>
      <c r="I281" s="2"/>
      <c r="J281" s="2"/>
    </row>
    <row r="282" spans="1:10">
      <c r="A282" s="2"/>
      <c r="B282" s="372" t="s">
        <v>955</v>
      </c>
      <c r="C282" s="372" t="s">
        <v>956</v>
      </c>
      <c r="D282" s="372" t="s">
        <v>957</v>
      </c>
      <c r="E282" s="373" t="s">
        <v>958</v>
      </c>
      <c r="F282" s="2"/>
      <c r="G282" s="2"/>
      <c r="H282" s="2"/>
      <c r="I282" s="2"/>
      <c r="J282" s="2"/>
    </row>
    <row r="283" spans="1:10">
      <c r="A283" s="374"/>
      <c r="B283" s="376">
        <f>+'AG15.1.2'!H47</f>
        <v>0</v>
      </c>
      <c r="C283" s="376">
        <f>+'AG15.1.2'!E47</f>
        <v>0</v>
      </c>
      <c r="D283" s="376">
        <f>+C283-B283</f>
        <v>0</v>
      </c>
      <c r="E283" s="348">
        <f>+E!$B$6*E!$B$8</f>
        <v>159798.5202</v>
      </c>
      <c r="F283" s="357"/>
      <c r="G283" s="357"/>
      <c r="H283" s="357"/>
      <c r="I283" s="357"/>
      <c r="J283" s="357"/>
    </row>
    <row r="284" spans="1:10" ht="15.6">
      <c r="A284" s="370"/>
      <c r="B284" s="357"/>
      <c r="C284" s="357"/>
      <c r="D284" s="357"/>
      <c r="E284" s="357"/>
      <c r="F284" s="357"/>
      <c r="G284" s="357"/>
      <c r="H284" s="357"/>
      <c r="I284" s="357"/>
      <c r="J284" s="357"/>
    </row>
    <row r="285" spans="1:10" ht="15.6">
      <c r="A285" s="368" t="s">
        <v>996</v>
      </c>
      <c r="B285" s="357"/>
      <c r="C285" s="357"/>
      <c r="D285" s="357"/>
      <c r="E285" s="357"/>
      <c r="F285" s="357"/>
      <c r="G285" s="357"/>
      <c r="H285" s="357"/>
      <c r="I285" s="354" t="str">
        <f>IF(E!B498=TRUE,"RIESGO DE FRAUDE","")</f>
        <v/>
      </c>
      <c r="J285" s="357"/>
    </row>
    <row r="286" spans="1:10" ht="15.6">
      <c r="A286" s="370"/>
      <c r="B286" s="357"/>
      <c r="C286" s="357"/>
      <c r="D286" s="357"/>
      <c r="E286" s="357"/>
      <c r="F286" s="357"/>
      <c r="G286" s="357"/>
      <c r="H286" s="357"/>
      <c r="I286" s="392" t="str">
        <f>IF(A287=$A$496,"NO",IF(A287=$A$498,"NO","SI"))</f>
        <v>NO</v>
      </c>
      <c r="J286" s="357"/>
    </row>
    <row r="287" spans="1:10">
      <c r="A287" s="1" t="str">
        <f>IF(I285="RIESGO DE FRAUDE",$A$495,IF(ABS(C290)&gt;E290,$A$497,IF(ABS(D290)&gt;E290,$A$499,IF(B290+C290=0,$A$496,$A$498))))</f>
        <v>AREA POCO RELEVANTE. NO APLICAR PROCEDIMIENTOS DE AUDITORIA</v>
      </c>
      <c r="B287" s="1"/>
      <c r="C287" s="1"/>
      <c r="D287" s="1"/>
      <c r="E287" s="1"/>
      <c r="F287" s="1"/>
      <c r="G287" s="1"/>
      <c r="H287" s="1"/>
      <c r="I287" s="1"/>
      <c r="J287" s="1"/>
    </row>
    <row r="288" spans="1:10">
      <c r="A288" s="2"/>
      <c r="B288" s="371"/>
      <c r="C288" s="371"/>
      <c r="D288" s="371"/>
      <c r="E288" s="2"/>
      <c r="F288" s="2"/>
      <c r="G288" s="2"/>
      <c r="H288" s="2"/>
      <c r="I288" s="2"/>
      <c r="J288" s="2"/>
    </row>
    <row r="289" spans="1:10">
      <c r="A289" s="2"/>
      <c r="B289" s="372" t="s">
        <v>955</v>
      </c>
      <c r="C289" s="372" t="s">
        <v>956</v>
      </c>
      <c r="D289" s="372" t="s">
        <v>957</v>
      </c>
      <c r="E289" s="373" t="s">
        <v>958</v>
      </c>
      <c r="F289" s="2"/>
      <c r="G289" s="2"/>
      <c r="H289" s="2"/>
      <c r="I289" s="2"/>
      <c r="J289" s="2"/>
    </row>
    <row r="290" spans="1:10">
      <c r="A290" s="374"/>
      <c r="B290" s="376">
        <f>+'AG15.1.2'!H52</f>
        <v>-4650.68</v>
      </c>
      <c r="C290" s="376">
        <f>+'AG15.1.2'!E52</f>
        <v>-7149.43</v>
      </c>
      <c r="D290" s="376">
        <f>+C290-B290</f>
        <v>-2498.75</v>
      </c>
      <c r="E290" s="348">
        <f>+E!$B$6*E!$B$8</f>
        <v>159798.5202</v>
      </c>
      <c r="F290" s="357"/>
      <c r="G290" s="357"/>
      <c r="H290" s="357"/>
      <c r="I290" s="357"/>
      <c r="J290" s="357"/>
    </row>
    <row r="291" spans="1:10" ht="15.6">
      <c r="A291" s="370"/>
      <c r="B291" s="357"/>
      <c r="C291" s="357"/>
      <c r="D291" s="357"/>
      <c r="E291" s="357"/>
      <c r="F291" s="357"/>
      <c r="G291" s="357"/>
      <c r="H291" s="357"/>
      <c r="I291" s="357"/>
      <c r="J291" s="357"/>
    </row>
    <row r="292" spans="1:10" ht="15.6">
      <c r="A292" s="368" t="s">
        <v>997</v>
      </c>
      <c r="B292" s="357"/>
      <c r="C292" s="357"/>
      <c r="D292" s="357"/>
      <c r="E292" s="357"/>
      <c r="F292" s="357"/>
      <c r="G292" s="357"/>
      <c r="H292" s="357"/>
      <c r="I292" s="354" t="str">
        <f>IF(E!B499=TRUE,"RIESGO DE FRAUDE","")</f>
        <v/>
      </c>
      <c r="J292" s="357"/>
    </row>
    <row r="293" spans="1:10" ht="15.6">
      <c r="A293" s="370"/>
      <c r="B293" s="357"/>
      <c r="C293" s="357"/>
      <c r="D293" s="357"/>
      <c r="E293" s="357"/>
      <c r="F293" s="357"/>
      <c r="G293" s="357"/>
      <c r="H293" s="357"/>
      <c r="I293" s="392" t="str">
        <f>IF(A294=$A$496,"NO",IF(A294=$A$498,"NO","SI"))</f>
        <v>NO</v>
      </c>
      <c r="J293" s="357"/>
    </row>
    <row r="294" spans="1:10">
      <c r="A294" s="1" t="str">
        <f>IF(I292="RIESGO DE FRAUDE",$A$495,IF(ABS(C297)&gt;E297,$A$497,IF(ABS(D297)&gt;E297,$A$499,IF(B297+C297=0,$A$496,$A$498))))</f>
        <v>AREA POCO RELEVANTE. NO APLICAR PROCEDIMIENTOS DE AUDITORIA</v>
      </c>
      <c r="B294" s="1"/>
      <c r="C294" s="1"/>
      <c r="D294" s="1"/>
      <c r="E294" s="1"/>
      <c r="F294" s="1"/>
      <c r="G294" s="1"/>
      <c r="H294" s="1"/>
      <c r="I294" s="1"/>
      <c r="J294" s="1"/>
    </row>
    <row r="295" spans="1:10">
      <c r="A295" s="2"/>
      <c r="B295" s="371"/>
      <c r="C295" s="371"/>
      <c r="D295" s="371"/>
      <c r="E295" s="2"/>
      <c r="F295" s="2"/>
      <c r="G295" s="2"/>
      <c r="H295" s="2"/>
      <c r="I295" s="2"/>
      <c r="J295" s="2"/>
    </row>
    <row r="296" spans="1:10">
      <c r="A296" s="2"/>
      <c r="B296" s="372" t="s">
        <v>955</v>
      </c>
      <c r="C296" s="372" t="s">
        <v>956</v>
      </c>
      <c r="D296" s="372" t="s">
        <v>957</v>
      </c>
      <c r="E296" s="373" t="s">
        <v>958</v>
      </c>
      <c r="F296" s="2"/>
      <c r="G296" s="2"/>
      <c r="H296" s="2"/>
      <c r="I296" s="2"/>
      <c r="J296" s="2"/>
    </row>
    <row r="297" spans="1:10">
      <c r="A297" s="374"/>
      <c r="B297" s="376">
        <f>+'AG15.1.2'!H53</f>
        <v>178.63</v>
      </c>
      <c r="C297" s="376">
        <f>+'AG15.1.2'!E53</f>
        <v>0</v>
      </c>
      <c r="D297" s="376">
        <f>+C297-B297</f>
        <v>-178.63</v>
      </c>
      <c r="E297" s="348">
        <f>+E!$B$6*E!$B$8</f>
        <v>159798.5202</v>
      </c>
      <c r="F297" s="357"/>
      <c r="G297" s="357"/>
      <c r="H297" s="357"/>
      <c r="I297" s="357"/>
      <c r="J297" s="357"/>
    </row>
    <row r="298" spans="1:10" ht="15.6">
      <c r="A298" s="370"/>
      <c r="B298" s="357"/>
      <c r="C298" s="357"/>
      <c r="D298" s="357"/>
      <c r="E298" s="357"/>
      <c r="F298" s="357"/>
      <c r="G298" s="357"/>
      <c r="H298" s="357"/>
      <c r="I298" s="357"/>
      <c r="J298" s="357"/>
    </row>
    <row r="299" spans="1:10" ht="15.6">
      <c r="A299" s="368" t="s">
        <v>998</v>
      </c>
      <c r="B299" s="357"/>
      <c r="C299" s="357"/>
      <c r="D299" s="357"/>
      <c r="E299" s="357"/>
      <c r="F299" s="357"/>
      <c r="G299" s="357"/>
      <c r="H299" s="357"/>
      <c r="I299" s="354" t="str">
        <f>IF(E!B500=TRUE,"RIESGO DE FRAUDE","")</f>
        <v/>
      </c>
      <c r="J299" s="357"/>
    </row>
    <row r="300" spans="1:10" ht="15.6">
      <c r="A300" s="370"/>
      <c r="B300" s="357"/>
      <c r="C300" s="357"/>
      <c r="D300" s="357"/>
      <c r="E300" s="357"/>
      <c r="F300" s="357"/>
      <c r="G300" s="357"/>
      <c r="H300" s="357"/>
      <c r="I300" s="392" t="str">
        <f>IF(A301=$A$496,"NO",IF(A301=$A$498,"NO","SI"))</f>
        <v>NO</v>
      </c>
      <c r="J300" s="357"/>
    </row>
    <row r="301" spans="1:10">
      <c r="A301" s="1" t="str">
        <f>IF(I299="RIESGO DE FRAUDE",$A$495,IF(ABS(C304)&gt;E304,$A$497,IF(ABS(D304)&gt;E304,$A$499,IF(B304+C304=0,$A$496,$A$498))))</f>
        <v>AREA POCO RELEVANTE. NO APLICAR PROCEDIMIENTOS DE AUDITORIA</v>
      </c>
      <c r="B301" s="1"/>
      <c r="C301" s="1"/>
      <c r="D301" s="1"/>
      <c r="E301" s="1"/>
      <c r="F301" s="1"/>
      <c r="G301" s="1"/>
      <c r="H301" s="1"/>
      <c r="I301" s="1"/>
      <c r="J301" s="1"/>
    </row>
    <row r="302" spans="1:10">
      <c r="A302" s="2"/>
      <c r="B302" s="371"/>
      <c r="C302" s="371"/>
      <c r="D302" s="371"/>
      <c r="E302" s="2"/>
      <c r="F302" s="2"/>
      <c r="G302" s="2"/>
      <c r="H302" s="2"/>
      <c r="I302" s="2"/>
      <c r="J302" s="2"/>
    </row>
    <row r="303" spans="1:10">
      <c r="A303" s="2"/>
      <c r="B303" s="372" t="s">
        <v>955</v>
      </c>
      <c r="C303" s="372" t="s">
        <v>956</v>
      </c>
      <c r="D303" s="372" t="s">
        <v>957</v>
      </c>
      <c r="E303" s="373" t="s">
        <v>958</v>
      </c>
      <c r="F303" s="2"/>
      <c r="G303" s="2"/>
      <c r="H303" s="2"/>
      <c r="I303" s="2"/>
      <c r="J303" s="2"/>
    </row>
    <row r="304" spans="1:10">
      <c r="A304" s="374"/>
      <c r="B304" s="376">
        <f>+'AG15.1.2'!H55</f>
        <v>87612.02</v>
      </c>
      <c r="C304" s="376">
        <f>+'AG15.1.2'!E55</f>
        <v>22007.280000000002</v>
      </c>
      <c r="D304" s="376">
        <f>+C304-B304</f>
        <v>-65604.740000000005</v>
      </c>
      <c r="E304" s="348">
        <f>+E!$B$6*E!$B$8</f>
        <v>159798.5202</v>
      </c>
      <c r="F304" s="357"/>
      <c r="G304" s="357"/>
      <c r="H304" s="357"/>
      <c r="I304" s="357"/>
      <c r="J304" s="357"/>
    </row>
    <row r="305" spans="1:10" ht="15.6">
      <c r="A305" s="370"/>
      <c r="B305" s="357"/>
      <c r="C305" s="357"/>
      <c r="D305" s="357"/>
      <c r="E305" s="357"/>
      <c r="F305" s="357"/>
      <c r="G305" s="357"/>
      <c r="H305" s="357"/>
      <c r="I305" s="357"/>
      <c r="J305" s="357"/>
    </row>
    <row r="306" spans="1:10" ht="15.6">
      <c r="A306" s="370"/>
      <c r="B306" s="357"/>
      <c r="C306" s="357"/>
      <c r="D306" s="357"/>
      <c r="E306" s="357"/>
      <c r="F306" s="357"/>
      <c r="G306" s="357"/>
      <c r="H306" s="357"/>
      <c r="I306" s="357"/>
      <c r="J306" s="357"/>
    </row>
    <row r="307" spans="1:10" ht="15.6">
      <c r="A307" s="370"/>
      <c r="B307" s="357"/>
      <c r="C307" s="357"/>
      <c r="D307" s="357"/>
      <c r="E307" s="357"/>
      <c r="F307" s="357"/>
      <c r="G307" s="357"/>
      <c r="H307" s="357"/>
      <c r="I307" s="357"/>
      <c r="J307" s="357"/>
    </row>
    <row r="308" spans="1:10" ht="15.6">
      <c r="A308" s="368" t="s">
        <v>999</v>
      </c>
      <c r="B308" s="369"/>
      <c r="C308" s="369"/>
      <c r="D308" s="369"/>
      <c r="E308" s="368"/>
      <c r="F308" s="368"/>
      <c r="G308" s="368"/>
      <c r="H308" s="368"/>
      <c r="I308" s="368"/>
      <c r="J308" s="368"/>
    </row>
    <row r="309" spans="1:10" ht="15.6">
      <c r="A309" s="370"/>
      <c r="B309" s="357"/>
      <c r="C309" s="357"/>
      <c r="D309" s="357"/>
      <c r="E309" s="357"/>
      <c r="F309" s="357"/>
      <c r="G309" s="357"/>
      <c r="H309" s="357"/>
      <c r="I309" s="357"/>
      <c r="J309" s="357"/>
    </row>
    <row r="310" spans="1:10" ht="15.6">
      <c r="A310" s="370"/>
      <c r="B310" s="357"/>
      <c r="C310" s="357"/>
      <c r="D310" s="357"/>
      <c r="E310" s="357"/>
      <c r="F310" s="357"/>
      <c r="G310" s="357"/>
      <c r="H310" s="357"/>
      <c r="I310" s="357"/>
      <c r="J310" s="357"/>
    </row>
    <row r="311" spans="1:10" ht="15.6">
      <c r="A311" s="368" t="s">
        <v>1000</v>
      </c>
      <c r="B311" s="369"/>
      <c r="C311" s="369"/>
      <c r="D311" s="369"/>
      <c r="E311" s="368"/>
      <c r="F311" s="368"/>
      <c r="G311" s="368"/>
      <c r="H311" s="368"/>
      <c r="I311" s="354" t="str">
        <f>IF(E!B501=TRUE,"RIESGO DE FRAUDE","")</f>
        <v/>
      </c>
      <c r="J311" s="368"/>
    </row>
    <row r="312" spans="1:10" ht="15.6">
      <c r="A312" s="357"/>
      <c r="B312" s="357"/>
      <c r="C312" s="357"/>
      <c r="D312" s="357"/>
      <c r="E312" s="357"/>
      <c r="F312" s="357"/>
      <c r="G312" s="357"/>
      <c r="H312" s="357"/>
      <c r="I312" s="392" t="str">
        <f>IF(A313=$A$496,"NO",IF(A313=$A$498,"NO","SI"))</f>
        <v>SI</v>
      </c>
      <c r="J312" s="357"/>
    </row>
    <row r="313" spans="1:10">
      <c r="A313" s="1" t="str">
        <f>IF(I311="RIESGO DE FRAUDE",$A$495,IF(ABS(C316)&gt;E316,$A$497,IF(ABS(D316)&gt;E316,$A$499,IF(B316+C316=0,$A$496,$A$498))))</f>
        <v>APLICAR PROCEDIMIENTOS DE CONTROL PARA ESTA AREA; EL SALDO SUPERA EL NIVEL DE PRECISION</v>
      </c>
      <c r="B313" s="1"/>
      <c r="C313" s="1"/>
      <c r="D313" s="1"/>
      <c r="E313" s="1"/>
      <c r="F313" s="1"/>
      <c r="G313" s="1"/>
      <c r="H313" s="1"/>
      <c r="I313" s="1"/>
      <c r="J313" s="1"/>
    </row>
    <row r="314" spans="1:10">
      <c r="A314" s="2"/>
      <c r="B314" s="371"/>
      <c r="C314" s="371"/>
      <c r="D314" s="371"/>
      <c r="E314" s="2"/>
      <c r="F314" s="2"/>
      <c r="G314" s="2"/>
      <c r="H314" s="2"/>
      <c r="I314" s="2"/>
      <c r="J314" s="2"/>
    </row>
    <row r="315" spans="1:10">
      <c r="A315" s="2"/>
      <c r="B315" s="372" t="s">
        <v>955</v>
      </c>
      <c r="C315" s="372" t="s">
        <v>956</v>
      </c>
      <c r="D315" s="372" t="s">
        <v>957</v>
      </c>
      <c r="E315" s="373" t="s">
        <v>958</v>
      </c>
      <c r="F315" s="2"/>
      <c r="G315" s="2"/>
      <c r="H315" s="2"/>
      <c r="I315" s="2"/>
      <c r="J315" s="2"/>
    </row>
    <row r="316" spans="1:10">
      <c r="A316" s="374"/>
      <c r="B316" s="376">
        <f>+'AG15.1.2'!H27</f>
        <v>-934721.88</v>
      </c>
      <c r="C316" s="376">
        <f>+'AG15.1.2'!E27</f>
        <v>-653928.56000000006</v>
      </c>
      <c r="D316" s="376">
        <f>+C316-B316</f>
        <v>280793.31999999995</v>
      </c>
      <c r="E316" s="348">
        <f>+E!$B$6*E!$B$8</f>
        <v>159798.5202</v>
      </c>
      <c r="F316" s="357"/>
      <c r="G316" s="357"/>
      <c r="H316" s="357"/>
      <c r="I316" s="357"/>
      <c r="J316" s="357"/>
    </row>
    <row r="317" spans="1:10">
      <c r="A317" s="355"/>
      <c r="B317" s="355"/>
      <c r="C317" s="355"/>
      <c r="D317" s="355"/>
      <c r="E317" s="355"/>
      <c r="F317" s="355"/>
      <c r="G317" s="355"/>
      <c r="H317" s="355"/>
      <c r="I317" s="355"/>
      <c r="J317" s="355"/>
    </row>
    <row r="318" spans="1:10" ht="15.6">
      <c r="A318" s="368" t="s">
        <v>1001</v>
      </c>
      <c r="B318" s="369"/>
      <c r="C318" s="369"/>
      <c r="D318" s="369"/>
      <c r="E318" s="368"/>
      <c r="F318" s="368"/>
      <c r="G318" s="368"/>
      <c r="H318" s="368"/>
      <c r="I318" s="354" t="str">
        <f>IF(E!B502=TRUE,"RIESGO DE FRAUDE","")</f>
        <v/>
      </c>
      <c r="J318" s="368"/>
    </row>
    <row r="319" spans="1:10" ht="15.6">
      <c r="A319" s="357"/>
      <c r="B319" s="357"/>
      <c r="C319" s="357"/>
      <c r="D319" s="357"/>
      <c r="E319" s="357"/>
      <c r="F319" s="357"/>
      <c r="G319" s="357"/>
      <c r="H319" s="357"/>
      <c r="I319" s="392" t="str">
        <f>IF(A320=$A$496,"NO",IF(A320=$A$498,"NO","SI"))</f>
        <v>SI</v>
      </c>
      <c r="J319" s="357"/>
    </row>
    <row r="320" spans="1:10">
      <c r="A320" s="1" t="str">
        <f>IF(I318="RIESGO DE FRAUDE",$A$495,IF(ABS(C323)&gt;E323,$A$497,IF(ABS(D323)&gt;E323,$A$499,IF(B323+C323=0,$A$496,$A$498))))</f>
        <v>APLICAR PROCEDIMIENTOS DE CONTROL PARA ESTA AREA; EL SALDO SUPERA EL NIVEL DE PRECISION</v>
      </c>
      <c r="B320" s="1"/>
      <c r="C320" s="1"/>
      <c r="D320" s="1"/>
      <c r="E320" s="1"/>
      <c r="F320" s="1"/>
      <c r="G320" s="1"/>
      <c r="H320" s="1"/>
      <c r="I320" s="1"/>
      <c r="J320" s="1"/>
    </row>
    <row r="321" spans="1:10">
      <c r="A321" s="2"/>
      <c r="B321" s="371"/>
      <c r="C321" s="371"/>
      <c r="D321" s="371"/>
      <c r="E321" s="2"/>
      <c r="F321" s="2"/>
      <c r="G321" s="2"/>
      <c r="H321" s="2"/>
      <c r="I321" s="2"/>
      <c r="J321" s="2"/>
    </row>
    <row r="322" spans="1:10">
      <c r="A322" s="2"/>
      <c r="B322" s="372" t="s">
        <v>955</v>
      </c>
      <c r="C322" s="372" t="s">
        <v>956</v>
      </c>
      <c r="D322" s="372" t="s">
        <v>957</v>
      </c>
      <c r="E322" s="373" t="s">
        <v>958</v>
      </c>
      <c r="F322" s="2"/>
      <c r="G322" s="2"/>
      <c r="H322" s="2"/>
      <c r="I322" s="2"/>
      <c r="J322" s="2"/>
    </row>
    <row r="323" spans="1:10">
      <c r="A323" s="374"/>
      <c r="B323" s="376">
        <f>+'AG15.1.2'!H35</f>
        <v>-242687.49</v>
      </c>
      <c r="C323" s="376">
        <f>+'AG15.1.2'!E35</f>
        <v>-168058.45</v>
      </c>
      <c r="D323" s="376">
        <f>+C323-B323</f>
        <v>74629.039999999979</v>
      </c>
      <c r="E323" s="348">
        <f>+E!$B$6*E!$B$8</f>
        <v>159798.5202</v>
      </c>
      <c r="F323" s="357"/>
      <c r="G323" s="357"/>
      <c r="H323" s="357"/>
      <c r="I323" s="357"/>
      <c r="J323" s="357"/>
    </row>
    <row r="324" spans="1:10">
      <c r="A324" s="355"/>
      <c r="B324" s="355"/>
      <c r="C324" s="355"/>
      <c r="D324" s="355"/>
      <c r="E324" s="355"/>
      <c r="F324" s="355"/>
      <c r="G324" s="355"/>
      <c r="H324" s="355"/>
      <c r="I324" s="355"/>
      <c r="J324" s="355"/>
    </row>
    <row r="325" spans="1:10" ht="15.6">
      <c r="A325" s="368" t="s">
        <v>1002</v>
      </c>
      <c r="B325" s="380"/>
      <c r="C325" s="380"/>
      <c r="D325" s="380"/>
      <c r="E325" s="379"/>
      <c r="F325" s="379"/>
      <c r="G325" s="379"/>
      <c r="H325" s="379"/>
      <c r="I325" s="354" t="str">
        <f>IF(E!B503=TRUE,"RIESGO DE FRAUDE","")</f>
        <v/>
      </c>
      <c r="J325" s="379"/>
    </row>
    <row r="326" spans="1:10" ht="15.6">
      <c r="A326" s="357"/>
      <c r="B326" s="357"/>
      <c r="C326" s="357"/>
      <c r="D326" s="357"/>
      <c r="E326" s="357"/>
      <c r="F326" s="357"/>
      <c r="G326" s="357"/>
      <c r="H326" s="357"/>
      <c r="I326" s="392" t="str">
        <f>IF(A327=$A$496,"NO",IF(A327=$A$498,"NO","SI"))</f>
        <v>NO</v>
      </c>
      <c r="J326" s="357"/>
    </row>
    <row r="327" spans="1:10">
      <c r="A327" s="1" t="str">
        <f>IF(I325="RIESGO DE FRAUDE",$A$495,IF(ABS(C330)&gt;E330,$A$497,IF(ABS(D330)&gt;E330,$A$499,IF(B330+C330=0,$A$496,$A$498))))</f>
        <v>AREA POCO RELEVANTE. NO APLICAR PROCEDIMIENTOS DE AUDITORIA</v>
      </c>
      <c r="B327" s="1"/>
      <c r="C327" s="1"/>
      <c r="D327" s="1"/>
      <c r="E327" s="1"/>
      <c r="F327" s="1"/>
      <c r="G327" s="1"/>
      <c r="H327" s="1"/>
      <c r="I327" s="1"/>
      <c r="J327" s="1"/>
    </row>
    <row r="328" spans="1:10">
      <c r="A328" s="2"/>
      <c r="B328" s="371"/>
      <c r="C328" s="371"/>
      <c r="D328" s="371"/>
      <c r="E328" s="2"/>
      <c r="F328" s="2"/>
      <c r="G328" s="2"/>
      <c r="H328" s="2"/>
      <c r="I328" s="2"/>
      <c r="J328" s="2"/>
    </row>
    <row r="329" spans="1:10">
      <c r="A329" s="2"/>
      <c r="B329" s="372" t="s">
        <v>955</v>
      </c>
      <c r="C329" s="372" t="s">
        <v>956</v>
      </c>
      <c r="D329" s="372" t="s">
        <v>957</v>
      </c>
      <c r="E329" s="373" t="s">
        <v>958</v>
      </c>
      <c r="F329" s="2"/>
      <c r="G329" s="2"/>
      <c r="H329" s="2"/>
      <c r="I329" s="2"/>
      <c r="J329" s="2"/>
    </row>
    <row r="330" spans="1:10">
      <c r="A330" s="374"/>
      <c r="B330" s="376">
        <f>+'AG15.1.2'!H39</f>
        <v>-181488.47999999998</v>
      </c>
      <c r="C330" s="376">
        <f>+'AG15.1.2'!E39</f>
        <v>-81858.720000000001</v>
      </c>
      <c r="D330" s="376">
        <f>+C330-B330</f>
        <v>99629.75999999998</v>
      </c>
      <c r="E330" s="348">
        <f>+E!$B$6*E!$B$8</f>
        <v>159798.5202</v>
      </c>
      <c r="F330" s="357"/>
      <c r="G330" s="357"/>
      <c r="H330" s="357"/>
      <c r="I330" s="357"/>
      <c r="J330" s="357"/>
    </row>
    <row r="331" spans="1:10">
      <c r="A331" s="355"/>
      <c r="B331" s="355"/>
      <c r="C331" s="355"/>
      <c r="D331" s="355"/>
      <c r="E331" s="355"/>
      <c r="F331" s="355"/>
      <c r="G331" s="355"/>
      <c r="H331" s="355"/>
      <c r="I331" s="355"/>
      <c r="J331" s="355"/>
    </row>
    <row r="332" spans="1:10" ht="15.6">
      <c r="A332" s="368" t="s">
        <v>1003</v>
      </c>
      <c r="B332" s="380"/>
      <c r="C332" s="380"/>
      <c r="D332" s="380"/>
      <c r="E332" s="379"/>
      <c r="F332" s="379"/>
      <c r="G332" s="379"/>
      <c r="H332" s="379"/>
      <c r="I332" s="354" t="str">
        <f>IF(E!B504=TRUE,"RIESGO DE FRAUDE","")</f>
        <v/>
      </c>
      <c r="J332" s="379"/>
    </row>
    <row r="333" spans="1:10" ht="15.6">
      <c r="A333" s="357"/>
      <c r="B333" s="357"/>
      <c r="C333" s="357"/>
      <c r="D333" s="357"/>
      <c r="E333" s="357"/>
      <c r="F333" s="357"/>
      <c r="G333" s="357"/>
      <c r="H333" s="357"/>
      <c r="I333" s="392" t="str">
        <f>IF(A334=$A$496,"NO",IF(A334=$A$498,"NO","SI"))</f>
        <v>NO</v>
      </c>
      <c r="J333" s="357"/>
    </row>
    <row r="334" spans="1:10">
      <c r="A334" s="1" t="str">
        <f>IF(I332="RIESGO DE FRAUDE",$A$495,IF(ABS(C337)&gt;E337,$A$497,IF(ABS(D337)&gt;E337,$A$499,IF(B337+C337=0,$A$496,$A$498))))</f>
        <v>AREA POCO RELEVANTE. NO APLICAR PROCEDIMIENTOS DE AUDITORIA</v>
      </c>
      <c r="B334" s="1"/>
      <c r="C334" s="1"/>
      <c r="D334" s="1"/>
      <c r="E334" s="1"/>
      <c r="F334" s="1"/>
      <c r="G334" s="1"/>
      <c r="H334" s="1"/>
      <c r="I334" s="1"/>
      <c r="J334" s="1"/>
    </row>
    <row r="335" spans="1:10">
      <c r="A335" s="2"/>
      <c r="B335" s="371"/>
      <c r="C335" s="371"/>
      <c r="D335" s="371"/>
      <c r="E335" s="2"/>
      <c r="F335" s="2"/>
      <c r="G335" s="2"/>
      <c r="H335" s="2"/>
      <c r="I335" s="2"/>
      <c r="J335" s="2"/>
    </row>
    <row r="336" spans="1:10">
      <c r="A336" s="2"/>
      <c r="B336" s="372" t="s">
        <v>955</v>
      </c>
      <c r="C336" s="372" t="s">
        <v>956</v>
      </c>
      <c r="D336" s="372" t="s">
        <v>957</v>
      </c>
      <c r="E336" s="373" t="s">
        <v>958</v>
      </c>
      <c r="F336" s="2"/>
      <c r="G336" s="2"/>
      <c r="H336" s="2"/>
      <c r="I336" s="2"/>
      <c r="J336" s="2"/>
    </row>
    <row r="337" spans="1:10">
      <c r="A337" s="374"/>
      <c r="B337" s="376">
        <f>+'AG15.1.2'!H45</f>
        <v>-38284.18</v>
      </c>
      <c r="C337" s="376">
        <f>+'AG15.1.2'!E45</f>
        <v>-27298.3</v>
      </c>
      <c r="D337" s="376">
        <f>+C337-B337</f>
        <v>10985.880000000001</v>
      </c>
      <c r="E337" s="348">
        <f>+E!$B$6*E!$B$8</f>
        <v>159798.5202</v>
      </c>
      <c r="F337" s="357"/>
      <c r="G337" s="357"/>
      <c r="H337" s="357"/>
      <c r="I337" s="357"/>
      <c r="J337" s="357"/>
    </row>
    <row r="338" spans="1:10">
      <c r="A338" s="355"/>
      <c r="B338" s="355"/>
      <c r="C338" s="355"/>
      <c r="D338" s="355"/>
      <c r="E338" s="355"/>
      <c r="F338" s="355"/>
      <c r="G338" s="355"/>
      <c r="H338" s="355"/>
      <c r="I338" s="355"/>
      <c r="J338" s="355"/>
    </row>
    <row r="339" spans="1:10" ht="15.6">
      <c r="A339" s="368" t="s">
        <v>1004</v>
      </c>
      <c r="B339" s="380"/>
      <c r="C339" s="380"/>
      <c r="D339" s="380"/>
      <c r="E339" s="379"/>
      <c r="F339" s="379"/>
      <c r="G339" s="379"/>
      <c r="H339" s="379"/>
      <c r="I339" s="354" t="str">
        <f>IF(E!B505=TRUE,"RIESGO DE FRAUDE","")</f>
        <v/>
      </c>
      <c r="J339" s="379"/>
    </row>
    <row r="340" spans="1:10" ht="15.6">
      <c r="A340" s="357"/>
      <c r="B340" s="357"/>
      <c r="C340" s="357"/>
      <c r="D340" s="357"/>
      <c r="E340" s="357"/>
      <c r="F340" s="357"/>
      <c r="G340" s="357"/>
      <c r="H340" s="357"/>
      <c r="I340" s="392" t="str">
        <f>IF(A341=$A$496,"NO",IF(A341=$A$498,"NO","SI"))</f>
        <v>NO</v>
      </c>
      <c r="J340" s="357"/>
    </row>
    <row r="341" spans="1:10">
      <c r="A341" s="1" t="str">
        <f>IF(I339="RIESGO DE FRAUDE",$A$495,IF(ABS(C344)&gt;E344,$A$497,IF(ABS(D344)&gt;E344,$A$499,IF(B344+C344=0,$A$496,$A$498))))</f>
        <v>NO APLICABLE</v>
      </c>
      <c r="B341" s="1"/>
      <c r="C341" s="1"/>
      <c r="D341" s="1"/>
      <c r="E341" s="1"/>
      <c r="F341" s="1"/>
      <c r="G341" s="1"/>
      <c r="H341" s="1"/>
      <c r="I341" s="1"/>
      <c r="J341" s="1"/>
    </row>
    <row r="342" spans="1:10">
      <c r="A342" s="2"/>
      <c r="B342" s="371"/>
      <c r="C342" s="371"/>
      <c r="D342" s="371"/>
      <c r="E342" s="2"/>
      <c r="F342" s="2"/>
      <c r="G342" s="2"/>
      <c r="H342" s="2"/>
      <c r="I342" s="2"/>
      <c r="J342" s="2"/>
    </row>
    <row r="343" spans="1:10">
      <c r="A343" s="2"/>
      <c r="B343" s="372" t="s">
        <v>955</v>
      </c>
      <c r="C343" s="372" t="s">
        <v>956</v>
      </c>
      <c r="D343" s="372" t="s">
        <v>957</v>
      </c>
      <c r="E343" s="373" t="s">
        <v>958</v>
      </c>
      <c r="F343" s="2"/>
      <c r="G343" s="2"/>
      <c r="H343" s="2"/>
      <c r="I343" s="2"/>
      <c r="J343" s="2"/>
    </row>
    <row r="344" spans="1:10">
      <c r="A344" s="374"/>
      <c r="B344" s="376">
        <f>+'AG15.1.2'!H48</f>
        <v>0</v>
      </c>
      <c r="C344" s="376">
        <f>+'AG15.1.2'!E48</f>
        <v>0</v>
      </c>
      <c r="D344" s="376">
        <f>+C344-B344</f>
        <v>0</v>
      </c>
      <c r="E344" s="348">
        <f>+E!$B$6*E!$B$8</f>
        <v>159798.5202</v>
      </c>
      <c r="F344" s="357"/>
      <c r="G344" s="357"/>
      <c r="H344" s="357"/>
      <c r="I344" s="357"/>
      <c r="J344" s="357"/>
    </row>
    <row r="345" spans="1:10">
      <c r="A345" s="355"/>
      <c r="B345" s="355"/>
      <c r="C345" s="355"/>
      <c r="D345" s="355"/>
      <c r="E345" s="355"/>
      <c r="F345" s="355"/>
      <c r="G345" s="355"/>
      <c r="H345" s="355"/>
      <c r="I345" s="355"/>
      <c r="J345" s="355"/>
    </row>
    <row r="346" spans="1:10" ht="15.6">
      <c r="A346" s="368" t="s">
        <v>1005</v>
      </c>
      <c r="B346" s="369"/>
      <c r="C346" s="369"/>
      <c r="D346" s="369"/>
      <c r="E346" s="368"/>
      <c r="F346" s="368"/>
      <c r="G346" s="368"/>
      <c r="H346" s="368"/>
      <c r="I346" s="354" t="str">
        <f>IF(E!B506=TRUE,"RIESGO DE FRAUDE","")</f>
        <v/>
      </c>
      <c r="J346" s="368"/>
    </row>
    <row r="347" spans="1:10" ht="15.6">
      <c r="A347" s="357"/>
      <c r="B347" s="357"/>
      <c r="C347" s="357"/>
      <c r="D347" s="357"/>
      <c r="E347" s="357"/>
      <c r="F347" s="357"/>
      <c r="G347" s="357"/>
      <c r="H347" s="357"/>
      <c r="I347" s="392" t="str">
        <f>IF(A348=$A$496,"NO",IF(A348=$A$498,"NO","SI"))</f>
        <v>NO</v>
      </c>
      <c r="J347" s="357"/>
    </row>
    <row r="348" spans="1:10">
      <c r="A348" s="1" t="str">
        <f>IF(I346="RIESGO DE FRAUDE",$A$495,IF(ABS(C351)&gt;E351,$A$497,IF(ABS(D351)&gt;E351,$A$499,IF(B351+C351=0,$A$496,$A$498))))</f>
        <v>AREA POCO RELEVANTE. NO APLICAR PROCEDIMIENTOS DE AUDITORIA</v>
      </c>
      <c r="B348" s="1"/>
      <c r="C348" s="1"/>
      <c r="D348" s="1"/>
      <c r="E348" s="1"/>
      <c r="F348" s="1"/>
      <c r="G348" s="1"/>
      <c r="H348" s="1"/>
      <c r="I348" s="1"/>
      <c r="J348" s="1"/>
    </row>
    <row r="349" spans="1:10">
      <c r="A349" s="2"/>
      <c r="B349" s="371"/>
      <c r="C349" s="371"/>
      <c r="D349" s="371"/>
      <c r="E349" s="2"/>
      <c r="F349" s="2"/>
      <c r="G349" s="2"/>
      <c r="H349" s="2"/>
      <c r="I349" s="2"/>
      <c r="J349" s="2"/>
    </row>
    <row r="350" spans="1:10">
      <c r="A350" s="2"/>
      <c r="B350" s="372" t="s">
        <v>955</v>
      </c>
      <c r="C350" s="372" t="s">
        <v>956</v>
      </c>
      <c r="D350" s="372" t="s">
        <v>957</v>
      </c>
      <c r="E350" s="373" t="s">
        <v>958</v>
      </c>
      <c r="F350" s="2"/>
      <c r="G350" s="2"/>
      <c r="H350" s="2"/>
      <c r="I350" s="2"/>
      <c r="J350" s="2"/>
    </row>
    <row r="351" spans="1:10">
      <c r="A351" s="374"/>
      <c r="B351" s="376">
        <f>+'AG15.1.2'!H63</f>
        <v>-4616.5</v>
      </c>
      <c r="C351" s="376">
        <f>+'AG15.1.2'!E63</f>
        <v>-777.14</v>
      </c>
      <c r="D351" s="376">
        <f>+C351-B351</f>
        <v>3839.36</v>
      </c>
      <c r="E351" s="348">
        <f>+E!$B$6*E!$B$8</f>
        <v>159798.5202</v>
      </c>
      <c r="F351" s="357"/>
      <c r="G351" s="357"/>
      <c r="H351" s="357"/>
      <c r="I351" s="357"/>
      <c r="J351" s="357"/>
    </row>
    <row r="352" spans="1:10">
      <c r="A352" s="355"/>
      <c r="B352" s="355"/>
      <c r="C352" s="355"/>
      <c r="D352" s="355"/>
      <c r="E352" s="355"/>
      <c r="F352" s="355"/>
      <c r="G352" s="355"/>
      <c r="H352" s="355"/>
      <c r="I352" s="355"/>
      <c r="J352" s="355"/>
    </row>
    <row r="353" spans="1:10" ht="15.6">
      <c r="A353" s="368" t="s">
        <v>1006</v>
      </c>
      <c r="B353" s="369"/>
      <c r="C353" s="369"/>
      <c r="D353" s="369"/>
      <c r="E353" s="368"/>
      <c r="F353" s="368"/>
      <c r="G353" s="368"/>
      <c r="H353" s="368"/>
      <c r="I353" s="354" t="str">
        <f>IF(E!B507=TRUE,"RIESGO DE FRAUDE","")</f>
        <v/>
      </c>
      <c r="J353" s="368"/>
    </row>
    <row r="354" spans="1:10" ht="15.6">
      <c r="A354" s="357"/>
      <c r="B354" s="357"/>
      <c r="C354" s="357"/>
      <c r="D354" s="357"/>
      <c r="E354" s="357"/>
      <c r="F354" s="357"/>
      <c r="G354" s="357"/>
      <c r="H354" s="357"/>
      <c r="I354" s="392" t="str">
        <f>IF(A355=$A$496,"NO",IF(A355=$A$498,"NO","SI"))</f>
        <v>NO</v>
      </c>
      <c r="J354" s="357"/>
    </row>
    <row r="355" spans="1:10">
      <c r="A355" s="1" t="str">
        <f>IF(I353="RIESGO DE FRAUDE",$A$495,IF(ABS(C358)&gt;E358,$A$497,IF(ABS(D358)&gt;E358,$A$499,IF(B358+C358=0,$A$496,$A$498))))</f>
        <v>NO APLICABLE</v>
      </c>
      <c r="B355" s="1"/>
      <c r="C355" s="1"/>
      <c r="D355" s="1"/>
      <c r="E355" s="1"/>
      <c r="F355" s="1"/>
      <c r="G355" s="1"/>
      <c r="H355" s="1"/>
      <c r="I355" s="1"/>
      <c r="J355" s="1"/>
    </row>
    <row r="356" spans="1:10">
      <c r="A356" s="2"/>
      <c r="B356" s="371"/>
      <c r="C356" s="371"/>
      <c r="D356" s="371"/>
      <c r="E356" s="2"/>
      <c r="F356" s="2"/>
      <c r="G356" s="2"/>
      <c r="H356" s="2"/>
      <c r="I356" s="2"/>
      <c r="J356" s="2"/>
    </row>
    <row r="357" spans="1:10">
      <c r="A357" s="2"/>
      <c r="B357" s="372" t="s">
        <v>955</v>
      </c>
      <c r="C357" s="372" t="s">
        <v>956</v>
      </c>
      <c r="D357" s="372" t="s">
        <v>957</v>
      </c>
      <c r="E357" s="373" t="s">
        <v>958</v>
      </c>
      <c r="F357" s="2"/>
      <c r="G357" s="2"/>
      <c r="H357" s="2"/>
      <c r="I357" s="2"/>
      <c r="J357" s="2"/>
    </row>
    <row r="358" spans="1:10">
      <c r="A358" s="374"/>
      <c r="B358" s="376">
        <f>+'AG15.1.2'!H67+'AG15.1.2'!H70+'AG15.1.2'!H71</f>
        <v>0</v>
      </c>
      <c r="C358" s="376">
        <f>+'AG15.1.2'!E67+'AG15.1.2'!E70+'AG15.1.2'!E71</f>
        <v>0</v>
      </c>
      <c r="D358" s="376">
        <f>+C358-B358</f>
        <v>0</v>
      </c>
      <c r="E358" s="348">
        <f>+E!$B$6*E!$B$8</f>
        <v>159798.5202</v>
      </c>
      <c r="F358" s="357"/>
      <c r="G358" s="357"/>
      <c r="H358" s="357"/>
      <c r="I358" s="357"/>
      <c r="J358" s="357"/>
    </row>
    <row r="359" spans="1:10">
      <c r="A359" s="355"/>
      <c r="B359" s="355"/>
      <c r="C359" s="355"/>
      <c r="D359" s="355"/>
      <c r="E359" s="355"/>
      <c r="F359" s="355"/>
      <c r="G359" s="355"/>
      <c r="H359" s="355"/>
      <c r="I359" s="355"/>
      <c r="J359" s="355"/>
    </row>
    <row r="360" spans="1:10" ht="15.6">
      <c r="A360" s="368" t="s">
        <v>1007</v>
      </c>
      <c r="B360" s="369"/>
      <c r="C360" s="369"/>
      <c r="D360" s="369"/>
      <c r="E360" s="368"/>
      <c r="F360" s="368"/>
      <c r="G360" s="368"/>
      <c r="H360" s="368"/>
      <c r="I360" s="354" t="str">
        <f>IF(E!B508=TRUE,"RIESGO DE FRAUDE","")</f>
        <v/>
      </c>
      <c r="J360" s="368"/>
    </row>
    <row r="361" spans="1:10" ht="15.6">
      <c r="A361" s="357"/>
      <c r="B361" s="357"/>
      <c r="C361" s="357"/>
      <c r="D361" s="357"/>
      <c r="E361" s="357"/>
      <c r="F361" s="357"/>
      <c r="G361" s="357"/>
      <c r="H361" s="357"/>
      <c r="I361" s="392" t="str">
        <f>IF(A362=$A$496,"NO",IF(A362=$A$498,"NO","SI"))</f>
        <v>NO</v>
      </c>
      <c r="J361" s="357"/>
    </row>
    <row r="362" spans="1:10">
      <c r="A362" s="1" t="str">
        <f>IF(I360="RIESGO DE FRAUDE",$A$495,IF(ABS(C365)&gt;E365,$A$497,IF(ABS(D365)&gt;E365,$A$499,IF(B365+C365=0,$A$496,$A$498))))</f>
        <v>AREA POCO RELEVANTE. NO APLICAR PROCEDIMIENTOS DE AUDITORIA</v>
      </c>
      <c r="B362" s="1"/>
      <c r="C362" s="1"/>
      <c r="D362" s="1"/>
      <c r="E362" s="1"/>
      <c r="F362" s="1"/>
      <c r="G362" s="1"/>
      <c r="H362" s="1"/>
      <c r="I362" s="1"/>
      <c r="J362" s="1"/>
    </row>
    <row r="363" spans="1:10">
      <c r="A363" s="2"/>
      <c r="B363" s="371"/>
      <c r="C363" s="371"/>
      <c r="D363" s="371"/>
      <c r="E363" s="2"/>
      <c r="F363" s="2"/>
      <c r="G363" s="2"/>
      <c r="H363" s="2"/>
      <c r="I363" s="2"/>
      <c r="J363" s="2"/>
    </row>
    <row r="364" spans="1:10">
      <c r="A364" s="2"/>
      <c r="B364" s="372" t="s">
        <v>955</v>
      </c>
      <c r="C364" s="372" t="s">
        <v>956</v>
      </c>
      <c r="D364" s="372" t="s">
        <v>957</v>
      </c>
      <c r="E364" s="373" t="s">
        <v>958</v>
      </c>
      <c r="F364" s="2"/>
      <c r="G364" s="2"/>
      <c r="H364" s="2"/>
      <c r="I364" s="2"/>
      <c r="J364" s="2"/>
    </row>
    <row r="365" spans="1:10">
      <c r="A365" s="374"/>
      <c r="B365" s="376">
        <f>+'AG15.1.2'!H80</f>
        <v>-11254.69</v>
      </c>
      <c r="C365" s="376">
        <f>+'AG15.1.2'!E80</f>
        <v>-891.66</v>
      </c>
      <c r="D365" s="376">
        <f>+C365-B365</f>
        <v>10363.030000000001</v>
      </c>
      <c r="E365" s="348">
        <f>+E!$B$6*E!$B$8</f>
        <v>159798.5202</v>
      </c>
      <c r="F365" s="357"/>
      <c r="G365" s="357"/>
      <c r="H365" s="357"/>
      <c r="I365" s="357"/>
      <c r="J365" s="357"/>
    </row>
    <row r="366" spans="1:10">
      <c r="A366" s="355"/>
      <c r="B366" s="355"/>
      <c r="C366" s="355"/>
      <c r="D366" s="355"/>
      <c r="E366" s="355"/>
      <c r="F366" s="355"/>
      <c r="G366" s="355"/>
      <c r="H366" s="355"/>
      <c r="I366" s="355"/>
      <c r="J366" s="355"/>
    </row>
    <row r="367" spans="1:10">
      <c r="A367" s="355"/>
      <c r="B367" s="355"/>
      <c r="C367" s="355"/>
      <c r="D367" s="355"/>
      <c r="E367" s="355"/>
      <c r="F367" s="355"/>
      <c r="G367" s="355"/>
      <c r="H367" s="355"/>
      <c r="I367" s="355"/>
      <c r="J367" s="355"/>
    </row>
    <row r="368" spans="1:10" s="404" customFormat="1" ht="15.6" hidden="1">
      <c r="A368" s="480" t="s">
        <v>7</v>
      </c>
      <c r="B368" s="480"/>
      <c r="C368" s="480"/>
      <c r="D368" s="480"/>
      <c r="E368" s="480"/>
      <c r="F368" s="480"/>
      <c r="G368" s="480"/>
      <c r="H368" s="480"/>
      <c r="I368" s="480"/>
      <c r="J368" s="480"/>
    </row>
    <row r="369" spans="1:5" s="404" customFormat="1" hidden="1"/>
    <row r="370" spans="1:5" s="404" customFormat="1" hidden="1">
      <c r="A370" s="400" t="s">
        <v>1008</v>
      </c>
      <c r="B370" s="400"/>
    </row>
    <row r="371" spans="1:5" s="404" customFormat="1" hidden="1">
      <c r="A371" s="399"/>
      <c r="B371" s="399"/>
    </row>
    <row r="372" spans="1:5" s="404" customFormat="1" hidden="1">
      <c r="A372" s="478" t="s">
        <v>8</v>
      </c>
      <c r="B372" s="478"/>
      <c r="E372" s="398" t="e">
        <v>#DIV/0!</v>
      </c>
    </row>
    <row r="373" spans="1:5" s="404" customFormat="1" hidden="1">
      <c r="A373" s="397"/>
      <c r="B373" s="397"/>
    </row>
    <row r="374" spans="1:5" s="404" customFormat="1" hidden="1">
      <c r="A374" s="397" t="e">
        <f>CONCATENATE(IF('[2]AG.15.1'!G56&gt;0,[3]AG.15!$A$502,[4]AG.15!$A$503)," ",IF('[2]AG.15.1'!G56&gt;0,[4]AG.15!$A$503,[4]AG.15!$A$505))</f>
        <v>#REF!</v>
      </c>
      <c r="B374" s="397"/>
    </row>
    <row r="375" spans="1:5" s="404" customFormat="1" hidden="1">
      <c r="A375" s="397" t="s">
        <v>1009</v>
      </c>
      <c r="B375" s="397"/>
    </row>
    <row r="376" spans="1:5" s="404" customFormat="1" hidden="1">
      <c r="A376" s="397"/>
      <c r="B376" s="397"/>
    </row>
    <row r="377" spans="1:5" s="404" customFormat="1" hidden="1">
      <c r="A377" s="478" t="s">
        <v>9</v>
      </c>
      <c r="B377" s="478"/>
      <c r="E377" s="396" t="e">
        <v>#DIV/0!</v>
      </c>
    </row>
    <row r="378" spans="1:5" s="404" customFormat="1" hidden="1">
      <c r="A378" s="397"/>
      <c r="B378" s="397"/>
    </row>
    <row r="379" spans="1:5" s="404" customFormat="1" hidden="1">
      <c r="A379" s="397" t="e">
        <v>#DIV/0!</v>
      </c>
      <c r="B379" s="397"/>
    </row>
    <row r="380" spans="1:5" s="404" customFormat="1" hidden="1">
      <c r="A380" s="397" t="s">
        <v>10</v>
      </c>
      <c r="B380" s="397"/>
    </row>
    <row r="381" spans="1:5" s="404" customFormat="1" hidden="1">
      <c r="A381" s="397"/>
      <c r="B381" s="397"/>
    </row>
    <row r="382" spans="1:5" s="404" customFormat="1" hidden="1">
      <c r="A382" s="478" t="s">
        <v>11</v>
      </c>
      <c r="B382" s="478"/>
      <c r="E382" s="396">
        <v>0</v>
      </c>
    </row>
    <row r="383" spans="1:5" s="404" customFormat="1" hidden="1">
      <c r="A383" s="397"/>
      <c r="B383" s="397"/>
    </row>
    <row r="384" spans="1:5" s="404" customFormat="1" hidden="1">
      <c r="A384" s="397" t="s">
        <v>1010</v>
      </c>
      <c r="B384" s="397"/>
    </row>
    <row r="385" spans="1:5" s="404" customFormat="1" hidden="1">
      <c r="A385" s="397" t="s">
        <v>12</v>
      </c>
      <c r="B385" s="397"/>
    </row>
    <row r="386" spans="1:5" s="404" customFormat="1" hidden="1">
      <c r="A386" s="397"/>
      <c r="B386" s="397"/>
    </row>
    <row r="387" spans="1:5" s="404" customFormat="1" hidden="1">
      <c r="A387" s="478" t="s">
        <v>13</v>
      </c>
      <c r="B387" s="478"/>
      <c r="E387" s="398" t="e">
        <v>#DIV/0!</v>
      </c>
    </row>
    <row r="388" spans="1:5" s="404" customFormat="1" hidden="1">
      <c r="A388" s="395"/>
      <c r="B388" s="395"/>
    </row>
    <row r="389" spans="1:5" s="404" customFormat="1" hidden="1">
      <c r="A389" s="397" t="e">
        <v>#DIV/0!</v>
      </c>
      <c r="B389" s="395"/>
    </row>
    <row r="390" spans="1:5" s="404" customFormat="1" hidden="1">
      <c r="A390" s="395" t="s">
        <v>14</v>
      </c>
      <c r="B390" s="395"/>
    </row>
    <row r="391" spans="1:5" s="404" customFormat="1" hidden="1">
      <c r="A391" s="395"/>
      <c r="B391" s="395"/>
    </row>
    <row r="392" spans="1:5" s="404" customFormat="1" hidden="1">
      <c r="A392" s="395"/>
      <c r="B392" s="395"/>
    </row>
    <row r="393" spans="1:5" s="404" customFormat="1" hidden="1">
      <c r="A393" s="394" t="s">
        <v>1011</v>
      </c>
      <c r="B393" s="394"/>
    </row>
    <row r="394" spans="1:5" s="404" customFormat="1" hidden="1">
      <c r="A394" s="395"/>
      <c r="B394" s="395"/>
    </row>
    <row r="395" spans="1:5" s="404" customFormat="1" hidden="1">
      <c r="A395" s="395"/>
      <c r="B395" s="395"/>
    </row>
    <row r="396" spans="1:5" s="404" customFormat="1" hidden="1">
      <c r="A396" s="479" t="s">
        <v>15</v>
      </c>
      <c r="B396" s="479"/>
      <c r="E396" s="398" t="e">
        <v>#DIV/0!</v>
      </c>
    </row>
    <row r="397" spans="1:5" s="404" customFormat="1" hidden="1">
      <c r="A397" s="397"/>
      <c r="B397" s="397"/>
    </row>
    <row r="398" spans="1:5" s="404" customFormat="1" hidden="1">
      <c r="A398" s="397" t="e">
        <v>#DIV/0!</v>
      </c>
      <c r="B398" s="397"/>
    </row>
    <row r="399" spans="1:5" s="404" customFormat="1" hidden="1">
      <c r="A399" s="397" t="s">
        <v>16</v>
      </c>
      <c r="B399" s="397"/>
    </row>
    <row r="400" spans="1:5" s="404" customFormat="1" hidden="1">
      <c r="A400" s="397"/>
      <c r="B400" s="397"/>
    </row>
    <row r="401" spans="1:5" s="404" customFormat="1" hidden="1">
      <c r="A401" s="479" t="s">
        <v>17</v>
      </c>
      <c r="B401" s="479"/>
      <c r="E401" s="398" t="e">
        <v>#DIV/0!</v>
      </c>
    </row>
    <row r="402" spans="1:5" s="404" customFormat="1" hidden="1">
      <c r="A402" s="397"/>
      <c r="B402" s="397"/>
    </row>
    <row r="403" spans="1:5" s="404" customFormat="1" hidden="1">
      <c r="A403" s="397" t="e">
        <v>#DIV/0!</v>
      </c>
      <c r="B403" s="397"/>
    </row>
    <row r="404" spans="1:5" s="404" customFormat="1" hidden="1">
      <c r="A404" s="397" t="s">
        <v>1012</v>
      </c>
      <c r="B404" s="397"/>
    </row>
    <row r="405" spans="1:5" s="404" customFormat="1" hidden="1">
      <c r="A405" s="397"/>
      <c r="B405" s="397"/>
    </row>
    <row r="406" spans="1:5" s="404" customFormat="1" hidden="1">
      <c r="A406" s="479" t="s">
        <v>18</v>
      </c>
      <c r="B406" s="479"/>
      <c r="E406" s="393" t="e">
        <v>#DIV/0!</v>
      </c>
    </row>
    <row r="407" spans="1:5" s="404" customFormat="1" hidden="1">
      <c r="A407" s="397"/>
      <c r="B407" s="397"/>
    </row>
    <row r="408" spans="1:5" s="404" customFormat="1" hidden="1">
      <c r="A408" s="397" t="e">
        <v>#DIV/0!</v>
      </c>
      <c r="B408" s="397"/>
    </row>
    <row r="409" spans="1:5" s="404" customFormat="1" hidden="1">
      <c r="A409" s="395" t="s">
        <v>19</v>
      </c>
      <c r="B409" s="395"/>
    </row>
    <row r="410" spans="1:5" s="404" customFormat="1" hidden="1">
      <c r="A410" s="395"/>
      <c r="B410" s="395"/>
    </row>
    <row r="411" spans="1:5" s="404" customFormat="1" hidden="1">
      <c r="A411" s="394" t="s">
        <v>1013</v>
      </c>
      <c r="B411" s="394"/>
    </row>
    <row r="412" spans="1:5" s="404" customFormat="1" hidden="1">
      <c r="A412" s="395"/>
      <c r="B412" s="395"/>
    </row>
    <row r="413" spans="1:5" s="404" customFormat="1" hidden="1">
      <c r="A413" s="478" t="s">
        <v>20</v>
      </c>
      <c r="B413" s="478"/>
      <c r="E413" s="396">
        <v>0</v>
      </c>
    </row>
    <row r="414" spans="1:5" s="404" customFormat="1" hidden="1">
      <c r="A414" s="397"/>
      <c r="B414" s="397"/>
    </row>
    <row r="415" spans="1:5" s="404" customFormat="1" hidden="1">
      <c r="A415" s="397" t="e">
        <v>#DIV/0!</v>
      </c>
      <c r="B415" s="397"/>
    </row>
    <row r="416" spans="1:5" s="404" customFormat="1" hidden="1">
      <c r="A416" s="397" t="s">
        <v>1014</v>
      </c>
      <c r="B416" s="397"/>
    </row>
    <row r="417" spans="1:5" s="404" customFormat="1" hidden="1">
      <c r="A417" s="397"/>
      <c r="B417" s="397"/>
    </row>
    <row r="418" spans="1:5" s="404" customFormat="1" hidden="1">
      <c r="A418" s="478" t="s">
        <v>1015</v>
      </c>
      <c r="B418" s="478"/>
      <c r="E418" s="396">
        <v>0</v>
      </c>
    </row>
    <row r="419" spans="1:5" s="404" customFormat="1" hidden="1">
      <c r="A419" s="397"/>
      <c r="B419" s="397"/>
    </row>
    <row r="420" spans="1:5" s="404" customFormat="1" hidden="1">
      <c r="A420" s="397" t="s">
        <v>1010</v>
      </c>
      <c r="B420" s="397"/>
    </row>
    <row r="421" spans="1:5" s="404" customFormat="1" hidden="1">
      <c r="A421" s="397" t="s">
        <v>1016</v>
      </c>
      <c r="B421" s="397"/>
    </row>
    <row r="422" spans="1:5" s="404" customFormat="1" hidden="1">
      <c r="A422" s="397"/>
      <c r="B422" s="397"/>
    </row>
    <row r="423" spans="1:5" s="404" customFormat="1" hidden="1">
      <c r="A423" s="478" t="s">
        <v>21</v>
      </c>
      <c r="B423" s="478"/>
      <c r="E423" s="396" t="e">
        <v>#DIV/0!</v>
      </c>
    </row>
    <row r="424" spans="1:5" s="404" customFormat="1" hidden="1">
      <c r="A424" s="397"/>
      <c r="B424" s="397"/>
    </row>
    <row r="425" spans="1:5" s="404" customFormat="1" hidden="1">
      <c r="A425" s="397" t="e">
        <v>#DIV/0!</v>
      </c>
      <c r="B425" s="397"/>
    </row>
    <row r="426" spans="1:5" s="404" customFormat="1" hidden="1">
      <c r="A426" s="397" t="s">
        <v>1017</v>
      </c>
      <c r="B426" s="397"/>
    </row>
    <row r="427" spans="1:5" s="404" customFormat="1" hidden="1">
      <c r="A427" s="397"/>
      <c r="B427" s="397"/>
    </row>
    <row r="428" spans="1:5" s="404" customFormat="1" hidden="1">
      <c r="A428" s="478" t="s">
        <v>22</v>
      </c>
      <c r="B428" s="478"/>
      <c r="E428" s="396" t="e">
        <v>#DIV/0!</v>
      </c>
    </row>
    <row r="429" spans="1:5" s="404" customFormat="1" hidden="1">
      <c r="A429" s="397"/>
      <c r="B429" s="397"/>
    </row>
    <row r="430" spans="1:5" s="404" customFormat="1" hidden="1">
      <c r="A430" s="397" t="e">
        <v>#DIV/0!</v>
      </c>
      <c r="B430" s="397"/>
    </row>
    <row r="431" spans="1:5" s="404" customFormat="1" hidden="1">
      <c r="A431" s="397" t="s">
        <v>23</v>
      </c>
      <c r="B431" s="397"/>
    </row>
    <row r="432" spans="1:5" s="404" customFormat="1" hidden="1">
      <c r="A432" s="397"/>
      <c r="B432" s="397"/>
    </row>
    <row r="433" spans="1:5" s="404" customFormat="1" hidden="1">
      <c r="A433" s="478" t="s">
        <v>1018</v>
      </c>
      <c r="B433" s="478"/>
      <c r="E433" s="396" t="e">
        <v>#DIV/0!</v>
      </c>
    </row>
    <row r="434" spans="1:5" s="404" customFormat="1" hidden="1">
      <c r="A434" s="397"/>
      <c r="B434" s="397"/>
    </row>
    <row r="435" spans="1:5" s="404" customFormat="1" hidden="1">
      <c r="A435" s="397" t="e">
        <v>#DIV/0!</v>
      </c>
      <c r="B435" s="397"/>
    </row>
    <row r="436" spans="1:5" s="404" customFormat="1" hidden="1">
      <c r="A436" s="397" t="s">
        <v>1019</v>
      </c>
      <c r="B436" s="397"/>
    </row>
    <row r="437" spans="1:5" s="404" customFormat="1" hidden="1">
      <c r="A437" s="397"/>
      <c r="B437" s="397"/>
    </row>
    <row r="438" spans="1:5" s="404" customFormat="1" hidden="1">
      <c r="A438" s="478" t="s">
        <v>24</v>
      </c>
      <c r="B438" s="478"/>
      <c r="E438" s="396" t="e">
        <v>#DIV/0!</v>
      </c>
    </row>
    <row r="439" spans="1:5" s="404" customFormat="1" hidden="1">
      <c r="A439" s="397"/>
      <c r="B439" s="397"/>
    </row>
    <row r="440" spans="1:5" s="404" customFormat="1" hidden="1">
      <c r="A440" s="397" t="e">
        <v>#DIV/0!</v>
      </c>
      <c r="B440" s="397"/>
    </row>
    <row r="441" spans="1:5" s="404" customFormat="1" hidden="1">
      <c r="A441" s="397" t="s">
        <v>25</v>
      </c>
      <c r="B441" s="397"/>
    </row>
    <row r="442" spans="1:5" s="404" customFormat="1" hidden="1">
      <c r="A442" s="397"/>
      <c r="B442" s="397"/>
    </row>
    <row r="443" spans="1:5" s="404" customFormat="1" hidden="1">
      <c r="A443" s="478" t="s">
        <v>26</v>
      </c>
      <c r="B443" s="478"/>
      <c r="E443" s="396" t="e">
        <v>#DIV/0!</v>
      </c>
    </row>
    <row r="444" spans="1:5" s="404" customFormat="1" hidden="1">
      <c r="A444" s="397"/>
      <c r="B444" s="397"/>
    </row>
    <row r="445" spans="1:5" s="404" customFormat="1" hidden="1">
      <c r="A445" s="397" t="e">
        <v>#DIV/0!</v>
      </c>
      <c r="B445" s="397"/>
    </row>
    <row r="446" spans="1:5" s="404" customFormat="1" hidden="1">
      <c r="A446" s="397" t="s">
        <v>27</v>
      </c>
      <c r="B446" s="397"/>
    </row>
    <row r="447" spans="1:5" s="404" customFormat="1" hidden="1">
      <c r="A447" s="395"/>
      <c r="B447" s="395"/>
    </row>
    <row r="448" spans="1:5" s="404" customFormat="1" hidden="1">
      <c r="A448" s="394" t="s">
        <v>1020</v>
      </c>
      <c r="B448" s="394"/>
    </row>
    <row r="449" spans="1:5" s="404" customFormat="1" hidden="1">
      <c r="A449" s="395"/>
      <c r="B449" s="395"/>
    </row>
    <row r="450" spans="1:5" s="404" customFormat="1" hidden="1">
      <c r="A450" s="478" t="s">
        <v>28</v>
      </c>
      <c r="B450" s="478"/>
      <c r="E450" s="398" t="e">
        <v>#DIV/0!</v>
      </c>
    </row>
    <row r="451" spans="1:5" s="404" customFormat="1" hidden="1">
      <c r="A451" s="397"/>
      <c r="B451" s="397"/>
    </row>
    <row r="452" spans="1:5" s="404" customFormat="1" hidden="1">
      <c r="A452" s="397" t="e">
        <v>#DIV/0!</v>
      </c>
      <c r="B452" s="397"/>
    </row>
    <row r="453" spans="1:5" s="404" customFormat="1" hidden="1">
      <c r="A453" s="397" t="s">
        <v>29</v>
      </c>
      <c r="B453" s="397"/>
    </row>
    <row r="454" spans="1:5" s="404" customFormat="1" hidden="1">
      <c r="A454" s="397"/>
      <c r="B454" s="397"/>
    </row>
    <row r="455" spans="1:5" s="404" customFormat="1" hidden="1">
      <c r="A455" s="478" t="s">
        <v>30</v>
      </c>
      <c r="B455" s="478"/>
      <c r="E455" s="398" t="e">
        <v>#DIV/0!</v>
      </c>
    </row>
    <row r="456" spans="1:5" s="404" customFormat="1" hidden="1">
      <c r="A456" s="397"/>
      <c r="B456" s="397"/>
    </row>
    <row r="457" spans="1:5" s="404" customFormat="1" hidden="1">
      <c r="A457" s="397" t="e">
        <v>#DIV/0!</v>
      </c>
      <c r="B457" s="397"/>
    </row>
    <row r="458" spans="1:5" s="404" customFormat="1" hidden="1">
      <c r="A458" s="397" t="s">
        <v>31</v>
      </c>
      <c r="B458" s="397"/>
    </row>
    <row r="459" spans="1:5" s="404" customFormat="1" hidden="1">
      <c r="A459" s="397"/>
      <c r="B459" s="397"/>
    </row>
    <row r="460" spans="1:5" s="404" customFormat="1" hidden="1">
      <c r="A460" s="478" t="s">
        <v>1021</v>
      </c>
      <c r="B460" s="478"/>
      <c r="E460" s="396" t="e">
        <v>#DIV/0!</v>
      </c>
    </row>
    <row r="461" spans="1:5" s="404" customFormat="1" hidden="1">
      <c r="A461" s="397"/>
      <c r="B461" s="397"/>
    </row>
    <row r="462" spans="1:5" s="404" customFormat="1" hidden="1">
      <c r="A462" s="397" t="e">
        <v>#DIV/0!</v>
      </c>
      <c r="B462" s="397"/>
    </row>
    <row r="463" spans="1:5" s="404" customFormat="1" hidden="1">
      <c r="A463" s="397" t="s">
        <v>1022</v>
      </c>
      <c r="B463" s="397"/>
    </row>
    <row r="464" spans="1:5" s="404" customFormat="1" hidden="1">
      <c r="A464" s="397"/>
      <c r="B464" s="397"/>
    </row>
    <row r="465" spans="1:10" s="404" customFormat="1" hidden="1">
      <c r="A465" s="394" t="s">
        <v>1023</v>
      </c>
      <c r="B465" s="394"/>
    </row>
    <row r="466" spans="1:10" s="404" customFormat="1" hidden="1">
      <c r="A466" s="397"/>
      <c r="B466" s="397"/>
    </row>
    <row r="467" spans="1:10" s="404" customFormat="1" hidden="1">
      <c r="A467" s="478" t="s">
        <v>32</v>
      </c>
      <c r="B467" s="478"/>
      <c r="E467" s="396" t="e">
        <v>#DIV/0!</v>
      </c>
    </row>
    <row r="468" spans="1:10" s="404" customFormat="1" hidden="1">
      <c r="A468" s="397"/>
      <c r="B468" s="397"/>
    </row>
    <row r="469" spans="1:10" s="404" customFormat="1" hidden="1">
      <c r="A469" s="397" t="e">
        <v>#DIV/0!</v>
      </c>
      <c r="B469" s="397"/>
    </row>
    <row r="470" spans="1:10" s="404" customFormat="1" hidden="1">
      <c r="A470" s="397" t="s">
        <v>33</v>
      </c>
      <c r="B470" s="397"/>
    </row>
    <row r="471" spans="1:10" s="404" customFormat="1" hidden="1">
      <c r="A471" s="397"/>
      <c r="B471" s="397"/>
    </row>
    <row r="472" spans="1:10" s="404" customFormat="1" hidden="1">
      <c r="A472" s="478" t="s">
        <v>34</v>
      </c>
      <c r="B472" s="478"/>
      <c r="E472" s="396" t="e">
        <v>#DIV/0!</v>
      </c>
    </row>
    <row r="473" spans="1:10" s="404" customFormat="1" hidden="1"/>
    <row r="474" spans="1:10" s="404" customFormat="1" hidden="1">
      <c r="A474" s="397" t="e">
        <v>#DIV/0!</v>
      </c>
    </row>
    <row r="475" spans="1:10" s="404" customFormat="1" hidden="1">
      <c r="A475" s="405" t="s">
        <v>35</v>
      </c>
    </row>
    <row r="476" spans="1:10">
      <c r="A476" s="355"/>
      <c r="B476" s="355"/>
      <c r="C476" s="355"/>
      <c r="D476" s="355"/>
      <c r="E476" s="355"/>
      <c r="F476" s="355"/>
      <c r="G476" s="355"/>
      <c r="H476" s="355"/>
      <c r="I476" s="355"/>
      <c r="J476" s="355"/>
    </row>
    <row r="477" spans="1:10" ht="15.6">
      <c r="A477" s="471" t="s">
        <v>1024</v>
      </c>
      <c r="B477" s="471"/>
      <c r="C477" s="471"/>
      <c r="D477" s="471"/>
      <c r="E477" s="471"/>
      <c r="F477" s="471"/>
      <c r="G477" s="471"/>
      <c r="H477" s="471"/>
      <c r="I477" s="471"/>
      <c r="J477" s="471"/>
    </row>
    <row r="478" spans="1:10" ht="15.6">
      <c r="A478" s="366"/>
      <c r="B478" s="357"/>
      <c r="C478" s="357"/>
      <c r="D478" s="357"/>
      <c r="E478" s="357"/>
      <c r="F478" s="357"/>
      <c r="G478" s="357"/>
      <c r="H478" s="357"/>
      <c r="I478" s="357"/>
      <c r="J478" s="357"/>
    </row>
    <row r="479" spans="1:10" ht="9.75" customHeight="1">
      <c r="A479" s="470" t="s">
        <v>1025</v>
      </c>
      <c r="B479" s="470"/>
      <c r="C479" s="470"/>
      <c r="D479" s="470"/>
      <c r="E479" s="470"/>
      <c r="F479" s="470"/>
      <c r="G479" s="470"/>
      <c r="H479" s="470"/>
      <c r="I479" s="470"/>
      <c r="J479" s="470"/>
    </row>
    <row r="480" spans="1:10" ht="9.75" customHeight="1">
      <c r="A480" s="470"/>
      <c r="B480" s="470"/>
      <c r="C480" s="470"/>
      <c r="D480" s="470"/>
      <c r="E480" s="470"/>
      <c r="F480" s="470"/>
      <c r="G480" s="470"/>
      <c r="H480" s="470"/>
      <c r="I480" s="470"/>
      <c r="J480" s="470"/>
    </row>
    <row r="481" spans="1:10" ht="15" customHeight="1">
      <c r="A481" s="470"/>
      <c r="B481" s="470"/>
      <c r="C481" s="470"/>
      <c r="D481" s="470"/>
      <c r="E481" s="470"/>
      <c r="F481" s="470"/>
      <c r="G481" s="470"/>
      <c r="H481" s="470"/>
      <c r="I481" s="470"/>
      <c r="J481" s="470"/>
    </row>
    <row r="482" spans="1:10" ht="4.5" customHeight="1">
      <c r="A482" s="470"/>
      <c r="B482" s="470"/>
      <c r="C482" s="470"/>
      <c r="D482" s="470"/>
      <c r="E482" s="470"/>
      <c r="F482" s="470"/>
      <c r="G482" s="470"/>
      <c r="H482" s="470"/>
      <c r="I482" s="470"/>
      <c r="J482" s="470"/>
    </row>
    <row r="483" spans="1:10">
      <c r="A483" s="382"/>
      <c r="B483" s="383"/>
      <c r="C483" s="383"/>
      <c r="D483" s="383"/>
      <c r="E483" s="382"/>
      <c r="F483" s="382"/>
      <c r="G483" s="382"/>
      <c r="H483" s="382"/>
      <c r="I483" s="382"/>
      <c r="J483" s="382"/>
    </row>
    <row r="484" spans="1:10" ht="15.6">
      <c r="A484" s="370"/>
      <c r="B484" s="357"/>
      <c r="C484" s="357"/>
      <c r="D484" s="357"/>
      <c r="E484" s="357"/>
      <c r="F484" s="357"/>
      <c r="G484" s="357"/>
      <c r="H484" s="357"/>
      <c r="I484" s="357"/>
      <c r="J484" s="357"/>
    </row>
    <row r="485" spans="1:10" ht="15.6">
      <c r="A485" s="367" t="s">
        <v>1026</v>
      </c>
      <c r="B485" s="357"/>
      <c r="C485" s="357"/>
      <c r="D485" s="357"/>
      <c r="E485" s="357"/>
      <c r="F485" s="357"/>
      <c r="G485" s="357"/>
      <c r="H485" s="357"/>
      <c r="I485" s="357"/>
      <c r="J485" s="357"/>
    </row>
    <row r="486" spans="1:10" ht="15.6">
      <c r="A486" s="370"/>
      <c r="B486" s="357"/>
      <c r="C486" s="357"/>
      <c r="D486" s="357"/>
      <c r="E486" s="357"/>
      <c r="F486" s="357"/>
      <c r="G486" s="357"/>
      <c r="H486" s="357"/>
      <c r="I486" s="357"/>
      <c r="J486" s="357"/>
    </row>
    <row r="487" spans="1:10" ht="15.6">
      <c r="A487" s="471" t="s">
        <v>1027</v>
      </c>
      <c r="B487" s="471"/>
      <c r="C487" s="471"/>
      <c r="D487" s="471"/>
      <c r="E487" s="471"/>
      <c r="F487" s="471"/>
      <c r="G487" s="471"/>
      <c r="H487" s="471"/>
      <c r="I487" s="471"/>
      <c r="J487" s="471"/>
    </row>
    <row r="488" spans="1:10">
      <c r="A488" s="357"/>
      <c r="B488" s="357"/>
      <c r="C488" s="357"/>
      <c r="D488" s="357"/>
      <c r="E488" s="357"/>
      <c r="F488" s="357"/>
      <c r="G488" s="357"/>
      <c r="H488" s="357"/>
      <c r="I488" s="357"/>
      <c r="J488" s="357"/>
    </row>
    <row r="489" spans="1:10">
      <c r="A489" s="384"/>
      <c r="B489" s="385"/>
      <c r="C489" s="385"/>
      <c r="D489" s="385"/>
      <c r="E489" s="384"/>
      <c r="F489" s="384"/>
      <c r="G489" s="384"/>
      <c r="H489" s="384"/>
      <c r="I489" s="384"/>
      <c r="J489" s="384"/>
    </row>
    <row r="490" spans="1:10">
      <c r="A490" s="384"/>
      <c r="B490" s="385"/>
      <c r="C490" s="385"/>
      <c r="D490" s="385"/>
      <c r="E490" s="384"/>
      <c r="F490" s="384"/>
      <c r="G490" s="384"/>
      <c r="H490" s="384"/>
      <c r="I490" s="384"/>
      <c r="J490" s="384"/>
    </row>
    <row r="491" spans="1:10">
      <c r="A491" s="384"/>
      <c r="B491" s="385"/>
      <c r="C491" s="385"/>
      <c r="D491" s="385"/>
      <c r="E491" s="384"/>
      <c r="F491" s="384"/>
      <c r="G491" s="384"/>
      <c r="H491" s="384"/>
      <c r="I491" s="384"/>
      <c r="J491" s="384"/>
    </row>
    <row r="492" spans="1:10">
      <c r="A492" s="384"/>
      <c r="B492" s="385"/>
      <c r="C492" s="385"/>
      <c r="D492" s="385"/>
      <c r="E492" s="384"/>
      <c r="F492" s="384"/>
      <c r="G492" s="384"/>
      <c r="H492" s="384"/>
      <c r="I492" s="384"/>
      <c r="J492" s="384"/>
    </row>
    <row r="493" spans="1:10">
      <c r="A493" s="384"/>
      <c r="B493" s="385"/>
      <c r="C493" s="385"/>
      <c r="D493" s="385"/>
      <c r="E493" s="384"/>
      <c r="F493" s="384"/>
      <c r="G493" s="384"/>
      <c r="H493" s="384"/>
      <c r="I493" s="384"/>
      <c r="J493" s="384"/>
    </row>
    <row r="494" spans="1:10" hidden="1">
      <c r="A494" s="386" t="s">
        <v>1040</v>
      </c>
      <c r="B494" s="385"/>
      <c r="C494" s="385"/>
      <c r="D494" s="385"/>
      <c r="E494" s="384"/>
      <c r="F494" s="384"/>
      <c r="G494" s="384"/>
      <c r="H494" s="384"/>
      <c r="I494" s="384"/>
      <c r="J494" s="384"/>
    </row>
    <row r="495" spans="1:10" hidden="1">
      <c r="A495" s="386" t="s">
        <v>1041</v>
      </c>
      <c r="B495" s="385"/>
      <c r="C495" s="385"/>
      <c r="D495" s="385"/>
      <c r="E495" s="384"/>
      <c r="F495" s="384"/>
      <c r="G495" s="384"/>
      <c r="H495" s="384"/>
      <c r="I495" s="384"/>
      <c r="J495" s="384"/>
    </row>
    <row r="496" spans="1:10" hidden="1">
      <c r="A496" s="384" t="s">
        <v>954</v>
      </c>
      <c r="B496" s="385"/>
      <c r="C496" s="385"/>
      <c r="D496" s="385"/>
      <c r="E496" s="384"/>
      <c r="F496" s="384"/>
      <c r="G496" s="384"/>
      <c r="H496" s="384"/>
      <c r="I496" s="384"/>
      <c r="J496" s="384"/>
    </row>
    <row r="497" spans="1:10" hidden="1">
      <c r="A497" s="386" t="s">
        <v>1028</v>
      </c>
      <c r="B497" s="385"/>
      <c r="C497" s="385"/>
      <c r="D497" s="385"/>
      <c r="E497" s="384"/>
      <c r="F497" s="384"/>
      <c r="G497" s="384"/>
      <c r="H497" s="384"/>
      <c r="I497" s="384"/>
      <c r="J497" s="384"/>
    </row>
    <row r="498" spans="1:10" hidden="1">
      <c r="A498" s="384" t="s">
        <v>1029</v>
      </c>
      <c r="B498" s="385"/>
      <c r="C498" s="385"/>
      <c r="D498" s="385"/>
      <c r="E498" s="384"/>
      <c r="F498" s="384"/>
      <c r="G498" s="384"/>
      <c r="H498" s="384"/>
      <c r="I498" s="384"/>
      <c r="J498" s="384"/>
    </row>
    <row r="499" spans="1:10" hidden="1">
      <c r="A499" s="384" t="s">
        <v>1030</v>
      </c>
      <c r="B499" s="385"/>
      <c r="C499" s="385"/>
      <c r="D499" s="385"/>
      <c r="E499" s="384"/>
      <c r="F499" s="384"/>
      <c r="G499" s="384"/>
      <c r="H499" s="384"/>
      <c r="I499" s="384"/>
      <c r="J499" s="384"/>
    </row>
    <row r="500" spans="1:10" hidden="1">
      <c r="A500" s="384" t="s">
        <v>36</v>
      </c>
      <c r="B500" s="385"/>
      <c r="C500" s="385"/>
      <c r="D500" s="385"/>
      <c r="E500" s="384"/>
      <c r="F500" s="384"/>
      <c r="G500" s="384"/>
      <c r="H500" s="384"/>
      <c r="I500" s="384"/>
      <c r="J500" s="384"/>
    </row>
    <row r="501" spans="1:10" hidden="1">
      <c r="A501" s="384" t="s">
        <v>37</v>
      </c>
      <c r="B501" s="385"/>
      <c r="C501" s="385"/>
      <c r="D501" s="385"/>
      <c r="E501" s="384"/>
      <c r="F501" s="384"/>
      <c r="G501" s="384"/>
      <c r="H501" s="384"/>
      <c r="I501" s="384"/>
      <c r="J501" s="384"/>
    </row>
    <row r="502" spans="1:10" hidden="1">
      <c r="A502" s="384" t="s">
        <v>1031</v>
      </c>
      <c r="B502" s="385"/>
      <c r="C502" s="385"/>
      <c r="D502" s="385"/>
      <c r="E502" s="384"/>
      <c r="F502" s="384"/>
      <c r="G502" s="384"/>
      <c r="H502" s="384"/>
      <c r="I502" s="384"/>
      <c r="J502" s="384"/>
    </row>
    <row r="503" spans="1:10" hidden="1">
      <c r="A503" s="384" t="s">
        <v>1010</v>
      </c>
      <c r="B503" s="385"/>
      <c r="C503" s="385"/>
      <c r="D503" s="385"/>
      <c r="E503" s="384"/>
      <c r="F503" s="384"/>
      <c r="G503" s="384"/>
      <c r="H503" s="384"/>
      <c r="I503" s="384"/>
      <c r="J503" s="384"/>
    </row>
    <row r="504" spans="1:10" hidden="1">
      <c r="A504" s="384"/>
      <c r="B504" s="385"/>
      <c r="C504" s="385"/>
      <c r="D504" s="385"/>
      <c r="E504" s="384"/>
      <c r="F504" s="384"/>
      <c r="G504" s="384"/>
      <c r="H504" s="384"/>
      <c r="I504" s="384"/>
      <c r="J504" s="384"/>
    </row>
    <row r="505" spans="1:10" hidden="1">
      <c r="A505" s="384"/>
      <c r="B505" s="385"/>
      <c r="C505" s="385"/>
      <c r="D505" s="385"/>
      <c r="E505" s="384"/>
      <c r="F505" s="384"/>
      <c r="G505" s="384"/>
      <c r="H505" s="384"/>
      <c r="I505" s="384"/>
      <c r="J505" s="384"/>
    </row>
    <row r="506" spans="1:10" hidden="1">
      <c r="A506" s="472" t="s">
        <v>1032</v>
      </c>
      <c r="B506" s="472"/>
      <c r="C506" s="472"/>
      <c r="D506" s="472"/>
      <c r="E506" s="472"/>
      <c r="F506" s="472"/>
      <c r="G506" s="472"/>
      <c r="H506" s="472"/>
      <c r="I506" s="472"/>
      <c r="J506" s="472"/>
    </row>
    <row r="507" spans="1:10" hidden="1">
      <c r="A507" s="473"/>
      <c r="B507" s="473"/>
      <c r="C507" s="473"/>
      <c r="D507" s="473"/>
      <c r="E507" s="473"/>
      <c r="F507" s="473"/>
      <c r="G507" s="473"/>
      <c r="H507" s="473"/>
      <c r="I507" s="473"/>
      <c r="J507" s="473"/>
    </row>
    <row r="508" spans="1:10" hidden="1">
      <c r="A508" s="384"/>
      <c r="B508" s="385"/>
      <c r="C508" s="385"/>
      <c r="D508" s="385"/>
      <c r="E508" s="384"/>
      <c r="F508" s="384"/>
      <c r="G508" s="384"/>
      <c r="H508" s="384"/>
      <c r="I508" s="384"/>
      <c r="J508" s="384"/>
    </row>
    <row r="509" spans="1:10" hidden="1">
      <c r="A509" s="474" t="s">
        <v>1033</v>
      </c>
      <c r="B509" s="474"/>
      <c r="C509" s="474"/>
      <c r="D509" s="474"/>
      <c r="E509" s="474"/>
      <c r="F509" s="474"/>
      <c r="G509" s="474"/>
      <c r="H509" s="474"/>
      <c r="I509" s="474"/>
      <c r="J509" s="474"/>
    </row>
    <row r="510" spans="1:10" hidden="1">
      <c r="A510" s="475"/>
      <c r="B510" s="475"/>
      <c r="C510" s="475"/>
      <c r="D510" s="475"/>
      <c r="E510" s="475"/>
      <c r="F510" s="475"/>
      <c r="G510" s="475"/>
      <c r="H510" s="475"/>
      <c r="I510" s="475"/>
      <c r="J510" s="475"/>
    </row>
    <row r="511" spans="1:10">
      <c r="A511" s="384"/>
      <c r="B511" s="385"/>
      <c r="C511" s="385"/>
      <c r="D511" s="385"/>
      <c r="E511" s="384"/>
      <c r="F511" s="384"/>
      <c r="G511" s="384"/>
      <c r="H511" s="384"/>
      <c r="I511" s="384"/>
      <c r="J511" s="384"/>
    </row>
    <row r="512" spans="1:10">
      <c r="A512" s="387"/>
      <c r="B512" s="388"/>
      <c r="C512" s="388"/>
      <c r="D512" s="388"/>
      <c r="E512" s="387"/>
      <c r="F512" s="387"/>
      <c r="G512" s="387"/>
      <c r="H512" s="387"/>
      <c r="I512" s="387"/>
      <c r="J512" s="387"/>
    </row>
    <row r="513" spans="1:10">
      <c r="A513" s="13"/>
      <c r="B513" s="356"/>
      <c r="C513" s="356"/>
      <c r="D513" s="356"/>
      <c r="E513" s="13"/>
      <c r="F513" s="13"/>
      <c r="G513" s="13"/>
      <c r="H513" s="13"/>
      <c r="I513" s="13"/>
      <c r="J513" s="13"/>
    </row>
    <row r="514" spans="1:10">
      <c r="A514" s="13"/>
      <c r="B514" s="389" t="s">
        <v>1034</v>
      </c>
      <c r="C514" s="16" t="str">
        <f>+E!B4</f>
        <v>JCG</v>
      </c>
      <c r="D514" s="356"/>
      <c r="E514" s="13"/>
      <c r="F514" s="13"/>
      <c r="G514" s="13"/>
      <c r="H514" s="13"/>
      <c r="I514" s="13"/>
      <c r="J514" s="13"/>
    </row>
    <row r="515" spans="1:10">
      <c r="A515" s="13"/>
      <c r="B515" s="390" t="s">
        <v>1035</v>
      </c>
      <c r="C515" s="16"/>
      <c r="D515" s="356"/>
      <c r="E515" s="13"/>
      <c r="F515" s="13"/>
      <c r="G515" s="13"/>
      <c r="H515" s="13"/>
      <c r="I515" s="13"/>
      <c r="J515" s="13"/>
    </row>
    <row r="516" spans="1:10">
      <c r="A516" s="13"/>
      <c r="B516" s="390" t="s">
        <v>1036</v>
      </c>
      <c r="C516" s="16" t="str">
        <f>+E!B5</f>
        <v>JCC</v>
      </c>
      <c r="D516" s="356"/>
      <c r="E516" s="13"/>
      <c r="F516" s="13"/>
      <c r="G516" s="13"/>
      <c r="H516" s="13"/>
      <c r="I516" s="13"/>
      <c r="J516" s="13"/>
    </row>
    <row r="517" spans="1:10">
      <c r="A517" s="13"/>
      <c r="B517" s="356"/>
      <c r="C517" s="356"/>
      <c r="D517" s="356"/>
      <c r="E517" s="13"/>
      <c r="F517" s="13"/>
      <c r="G517" s="13"/>
      <c r="H517" s="13"/>
      <c r="I517" s="13"/>
      <c r="J517" s="13"/>
    </row>
    <row r="518" spans="1:10">
      <c r="A518" s="13"/>
      <c r="B518" s="356"/>
      <c r="C518" s="356"/>
      <c r="D518" s="356"/>
      <c r="E518" s="13"/>
      <c r="F518" s="13"/>
      <c r="G518" s="13"/>
      <c r="H518" s="13"/>
      <c r="I518" s="13"/>
      <c r="J518" s="13"/>
    </row>
    <row r="519" spans="1:10" ht="15.6">
      <c r="A519" s="471" t="s">
        <v>38</v>
      </c>
      <c r="B519" s="471"/>
      <c r="C519" s="471"/>
      <c r="D519" s="471"/>
      <c r="E519" s="471"/>
      <c r="F519" s="471"/>
      <c r="G519" s="471"/>
      <c r="H519" s="471"/>
      <c r="I519" s="471"/>
      <c r="J519" s="471"/>
    </row>
    <row r="520" spans="1:10">
      <c r="A520" s="350" t="s">
        <v>1153</v>
      </c>
      <c r="B520" s="353"/>
      <c r="C520" s="353"/>
      <c r="D520" s="476" t="s">
        <v>1037</v>
      </c>
      <c r="E520" s="477"/>
      <c r="F520" s="477"/>
      <c r="G520" s="477"/>
      <c r="H520" s="477"/>
      <c r="I520" s="13"/>
      <c r="J520" s="13"/>
    </row>
    <row r="521" spans="1:10">
      <c r="A521" s="350" t="s">
        <v>1171</v>
      </c>
      <c r="B521" s="353"/>
      <c r="C521" s="353"/>
      <c r="D521" s="476"/>
      <c r="E521" s="477"/>
      <c r="F521" s="477"/>
      <c r="G521" s="477"/>
      <c r="H521" s="477"/>
      <c r="I521" s="13"/>
      <c r="J521" s="13"/>
    </row>
    <row r="522" spans="1:10">
      <c r="A522" s="350" t="s">
        <v>1172</v>
      </c>
      <c r="B522" s="353"/>
      <c r="C522" s="349" t="s">
        <v>1038</v>
      </c>
      <c r="D522" s="350"/>
      <c r="E522" s="350"/>
      <c r="F522" s="350"/>
      <c r="G522" s="350"/>
      <c r="H522" s="350"/>
      <c r="I522" s="13"/>
      <c r="J522" s="13"/>
    </row>
    <row r="523" spans="1:10">
      <c r="A523" s="352" t="s">
        <v>1154</v>
      </c>
      <c r="B523" s="353"/>
      <c r="C523" s="353"/>
      <c r="D523" s="353"/>
      <c r="E523" s="350" t="s">
        <v>1039</v>
      </c>
      <c r="F523" s="350"/>
      <c r="G523" s="350"/>
      <c r="H523" s="350"/>
      <c r="I523" s="13"/>
      <c r="J523" s="13"/>
    </row>
    <row r="524" spans="1:10">
      <c r="A524" s="13"/>
      <c r="B524" s="356"/>
      <c r="C524" s="356"/>
      <c r="D524" s="356"/>
      <c r="E524" s="13"/>
      <c r="F524" s="13"/>
      <c r="G524" s="13"/>
      <c r="H524" s="13"/>
      <c r="I524" s="13"/>
      <c r="J524" s="13"/>
    </row>
    <row r="525" spans="1:10">
      <c r="A525" s="13"/>
      <c r="B525" s="356"/>
      <c r="C525" s="356"/>
      <c r="D525" s="356"/>
      <c r="E525" s="13"/>
      <c r="F525" s="13"/>
      <c r="G525" s="13"/>
      <c r="H525" s="13"/>
      <c r="I525" s="13"/>
      <c r="J525" s="13"/>
    </row>
    <row r="526" spans="1:10">
      <c r="A526" s="13"/>
      <c r="B526" s="356"/>
      <c r="C526" s="356"/>
      <c r="D526" s="356"/>
      <c r="E526" s="13"/>
      <c r="F526" s="13"/>
      <c r="G526" s="13"/>
      <c r="H526" s="13"/>
      <c r="I526" s="13"/>
      <c r="J526" s="13"/>
    </row>
    <row r="527" spans="1:10">
      <c r="A527" s="13"/>
      <c r="B527" s="356"/>
      <c r="C527" s="356"/>
      <c r="D527" s="356"/>
      <c r="E527" s="13"/>
      <c r="F527" s="13"/>
      <c r="G527" s="13"/>
      <c r="H527" s="13"/>
      <c r="I527" s="13"/>
      <c r="J527" s="13"/>
    </row>
    <row r="528" spans="1:10">
      <c r="A528" s="13"/>
      <c r="B528" s="356"/>
      <c r="C528" s="356"/>
      <c r="D528" s="356"/>
      <c r="E528" s="13"/>
      <c r="F528" s="13"/>
      <c r="G528" s="13"/>
      <c r="H528" s="13"/>
      <c r="I528" s="13"/>
      <c r="J528" s="13"/>
    </row>
    <row r="529" spans="1:10">
      <c r="A529" s="355"/>
      <c r="B529" s="356"/>
      <c r="C529" s="356"/>
      <c r="D529" s="356"/>
      <c r="E529" s="355"/>
      <c r="F529" s="355"/>
      <c r="G529" s="355"/>
      <c r="H529" s="355"/>
      <c r="I529" s="355"/>
      <c r="J529" s="355"/>
    </row>
    <row r="530" spans="1:10">
      <c r="A530" s="355"/>
      <c r="B530" s="356"/>
      <c r="C530" s="356"/>
      <c r="D530" s="356"/>
      <c r="E530" s="355"/>
      <c r="F530" s="355"/>
      <c r="G530" s="355"/>
      <c r="H530" s="355"/>
      <c r="I530" s="355"/>
      <c r="J530" s="355"/>
    </row>
    <row r="531" spans="1:10">
      <c r="A531" s="355"/>
      <c r="B531" s="356"/>
      <c r="C531" s="356"/>
      <c r="D531" s="356"/>
      <c r="E531" s="355"/>
      <c r="F531" s="355"/>
      <c r="G531" s="355"/>
      <c r="H531" s="355"/>
      <c r="I531" s="355"/>
      <c r="J531" s="355"/>
    </row>
    <row r="532" spans="1:10">
      <c r="A532" s="355"/>
      <c r="B532" s="356"/>
      <c r="C532" s="356"/>
      <c r="D532" s="356"/>
      <c r="E532" s="355"/>
      <c r="F532" s="355"/>
      <c r="G532" s="355"/>
      <c r="H532" s="355"/>
      <c r="I532" s="355"/>
      <c r="J532" s="355"/>
    </row>
    <row r="533" spans="1:10">
      <c r="A533" s="355"/>
      <c r="B533" s="356"/>
      <c r="C533" s="356"/>
      <c r="D533" s="356"/>
      <c r="E533" s="355"/>
      <c r="F533" s="355"/>
      <c r="G533" s="355"/>
      <c r="H533" s="355"/>
      <c r="I533" s="355"/>
      <c r="J533" s="355"/>
    </row>
    <row r="534" spans="1:10">
      <c r="A534" s="355"/>
      <c r="B534" s="356"/>
      <c r="C534" s="356"/>
      <c r="D534" s="356"/>
      <c r="E534" s="355"/>
      <c r="F534" s="355"/>
      <c r="G534" s="355"/>
      <c r="H534" s="355"/>
      <c r="I534" s="355"/>
      <c r="J534" s="355"/>
    </row>
    <row r="535" spans="1:10">
      <c r="A535" s="355"/>
      <c r="B535" s="356"/>
      <c r="C535" s="356"/>
      <c r="D535" s="356"/>
      <c r="E535" s="355"/>
      <c r="F535" s="355"/>
      <c r="G535" s="355"/>
      <c r="H535" s="355"/>
      <c r="I535" s="355"/>
      <c r="J535" s="355"/>
    </row>
    <row r="536" spans="1:10">
      <c r="A536" s="355"/>
      <c r="B536" s="356"/>
      <c r="C536" s="356"/>
      <c r="D536" s="356"/>
      <c r="E536" s="355"/>
      <c r="F536" s="355"/>
      <c r="G536" s="355"/>
      <c r="H536" s="355"/>
      <c r="I536" s="355"/>
      <c r="J536" s="355"/>
    </row>
    <row r="537" spans="1:10">
      <c r="A537" s="355"/>
      <c r="B537" s="356"/>
      <c r="C537" s="356"/>
      <c r="D537" s="356"/>
      <c r="E537" s="355"/>
      <c r="F537" s="355"/>
      <c r="G537" s="355"/>
      <c r="H537" s="355"/>
      <c r="I537" s="355"/>
      <c r="J537" s="355"/>
    </row>
    <row r="538" spans="1:10">
      <c r="A538" s="355"/>
      <c r="B538" s="356"/>
      <c r="C538" s="356"/>
      <c r="D538" s="356"/>
      <c r="E538" s="355"/>
      <c r="F538" s="355"/>
      <c r="G538" s="355"/>
      <c r="H538" s="355"/>
      <c r="I538" s="355"/>
      <c r="J538" s="355"/>
    </row>
    <row r="539" spans="1:10">
      <c r="A539" s="355"/>
      <c r="B539" s="356"/>
      <c r="C539" s="356"/>
      <c r="D539" s="356"/>
      <c r="E539" s="355"/>
      <c r="F539" s="355"/>
      <c r="G539" s="355"/>
      <c r="H539" s="355"/>
      <c r="I539" s="355"/>
      <c r="J539" s="355"/>
    </row>
    <row r="540" spans="1:10">
      <c r="A540" s="355"/>
      <c r="B540" s="356"/>
      <c r="C540" s="356"/>
      <c r="D540" s="356"/>
      <c r="E540" s="355"/>
      <c r="F540" s="355"/>
      <c r="G540" s="355"/>
      <c r="H540" s="355"/>
      <c r="I540" s="355"/>
      <c r="J540" s="355"/>
    </row>
    <row r="541" spans="1:10">
      <c r="A541" s="355"/>
      <c r="B541" s="356"/>
      <c r="C541" s="356"/>
      <c r="D541" s="356"/>
      <c r="E541" s="355"/>
      <c r="F541" s="355"/>
      <c r="G541" s="355"/>
      <c r="H541" s="355"/>
      <c r="I541" s="355"/>
      <c r="J541" s="355"/>
    </row>
    <row r="542" spans="1:10">
      <c r="A542" s="355"/>
      <c r="B542" s="356"/>
      <c r="C542" s="356"/>
      <c r="D542" s="356"/>
      <c r="E542" s="355"/>
      <c r="F542" s="355"/>
      <c r="G542" s="355"/>
      <c r="H542" s="355"/>
      <c r="I542" s="355"/>
      <c r="J542" s="355"/>
    </row>
    <row r="543" spans="1:10">
      <c r="A543" s="355"/>
      <c r="B543" s="356"/>
      <c r="C543" s="356"/>
      <c r="D543" s="356"/>
      <c r="E543" s="355"/>
      <c r="F543" s="355"/>
      <c r="G543" s="355"/>
      <c r="H543" s="355"/>
      <c r="I543" s="355"/>
      <c r="J543" s="355"/>
    </row>
    <row r="544" spans="1:10">
      <c r="A544" s="355"/>
      <c r="B544" s="356"/>
      <c r="C544" s="356"/>
      <c r="D544" s="356"/>
      <c r="E544" s="355"/>
      <c r="F544" s="355"/>
      <c r="G544" s="355"/>
      <c r="H544" s="355"/>
      <c r="I544" s="355"/>
      <c r="J544" s="355"/>
    </row>
    <row r="545" spans="1:10">
      <c r="A545" s="355"/>
      <c r="B545" s="356"/>
      <c r="C545" s="356"/>
      <c r="D545" s="356"/>
      <c r="E545" s="355"/>
      <c r="F545" s="355"/>
      <c r="G545" s="355"/>
      <c r="H545" s="355"/>
      <c r="I545" s="355"/>
      <c r="J545" s="355"/>
    </row>
    <row r="546" spans="1:10">
      <c r="A546" s="355"/>
      <c r="B546" s="356"/>
      <c r="C546" s="356"/>
      <c r="D546" s="356"/>
      <c r="E546" s="355"/>
      <c r="F546" s="355"/>
      <c r="G546" s="355"/>
      <c r="H546" s="355"/>
      <c r="I546" s="355"/>
      <c r="J546" s="355"/>
    </row>
    <row r="547" spans="1:10">
      <c r="A547" s="355"/>
      <c r="B547" s="356"/>
      <c r="C547" s="356"/>
      <c r="D547" s="356"/>
      <c r="E547" s="355"/>
      <c r="F547" s="355"/>
      <c r="G547" s="355"/>
      <c r="H547" s="355"/>
      <c r="I547" s="355"/>
      <c r="J547" s="355"/>
    </row>
    <row r="548" spans="1:10">
      <c r="A548" s="355"/>
      <c r="B548" s="356"/>
      <c r="C548" s="356"/>
      <c r="D548" s="356"/>
      <c r="E548" s="355"/>
      <c r="F548" s="355"/>
      <c r="G548" s="355"/>
      <c r="H548" s="355"/>
      <c r="I548" s="355"/>
      <c r="J548" s="355"/>
    </row>
    <row r="549" spans="1:10">
      <c r="A549" s="355"/>
      <c r="B549" s="356"/>
      <c r="C549" s="356"/>
      <c r="D549" s="356"/>
      <c r="E549" s="355"/>
      <c r="F549" s="355"/>
      <c r="G549" s="355"/>
      <c r="H549" s="355"/>
      <c r="I549" s="355"/>
      <c r="J549" s="355"/>
    </row>
    <row r="550" spans="1:10">
      <c r="A550" s="351"/>
      <c r="B550" s="356"/>
      <c r="C550" s="356"/>
      <c r="D550" s="356"/>
      <c r="E550" s="351"/>
      <c r="F550" s="351"/>
      <c r="G550" s="351"/>
      <c r="H550" s="351"/>
      <c r="I550" s="351"/>
      <c r="J550" s="351"/>
    </row>
    <row r="551" spans="1:10">
      <c r="A551" s="351"/>
      <c r="B551" s="356"/>
      <c r="C551" s="356"/>
      <c r="D551" s="356"/>
      <c r="E551" s="351"/>
      <c r="F551" s="351"/>
      <c r="G551" s="351"/>
      <c r="H551" s="351"/>
      <c r="I551" s="351"/>
      <c r="J551" s="351"/>
    </row>
    <row r="552" spans="1:10">
      <c r="A552" s="351"/>
      <c r="B552" s="356"/>
      <c r="C552" s="356"/>
      <c r="D552" s="356"/>
      <c r="E552" s="351"/>
      <c r="F552" s="351"/>
      <c r="G552" s="351"/>
      <c r="H552" s="351"/>
      <c r="I552" s="351"/>
      <c r="J552" s="351"/>
    </row>
    <row r="553" spans="1:10">
      <c r="A553" s="351"/>
      <c r="B553" s="356"/>
      <c r="C553" s="356"/>
      <c r="D553" s="356"/>
      <c r="E553" s="351"/>
      <c r="F553" s="351"/>
      <c r="G553" s="351"/>
      <c r="H553" s="351"/>
      <c r="I553" s="351"/>
      <c r="J553" s="351"/>
    </row>
    <row r="554" spans="1:10">
      <c r="A554" s="351"/>
      <c r="B554" s="356"/>
      <c r="C554" s="356"/>
      <c r="D554" s="356"/>
      <c r="E554" s="351"/>
      <c r="F554" s="351"/>
      <c r="G554" s="351"/>
      <c r="H554" s="351"/>
      <c r="I554" s="351"/>
      <c r="J554" s="351"/>
    </row>
    <row r="555" spans="1:10">
      <c r="A555" s="351"/>
      <c r="B555" s="356"/>
      <c r="C555" s="356"/>
      <c r="D555" s="356"/>
      <c r="E555" s="351"/>
      <c r="F555" s="351"/>
      <c r="G555" s="351"/>
      <c r="H555" s="351"/>
      <c r="I555" s="351"/>
      <c r="J555" s="351"/>
    </row>
    <row r="556" spans="1:10">
      <c r="A556" s="351"/>
      <c r="B556" s="356"/>
      <c r="C556" s="356"/>
      <c r="D556" s="356"/>
      <c r="E556" s="351"/>
      <c r="F556" s="351"/>
      <c r="G556" s="351"/>
      <c r="H556" s="351"/>
      <c r="I556" s="351"/>
      <c r="J556" s="351"/>
    </row>
    <row r="557" spans="1:10">
      <c r="A557" s="351"/>
      <c r="B557" s="356"/>
      <c r="C557" s="356"/>
      <c r="D557" s="356"/>
      <c r="E557" s="351"/>
      <c r="F557" s="351"/>
      <c r="G557" s="351"/>
      <c r="H557" s="351"/>
      <c r="I557" s="351"/>
      <c r="J557" s="351"/>
    </row>
    <row r="558" spans="1:10">
      <c r="A558" s="351"/>
      <c r="B558" s="356"/>
      <c r="C558" s="356"/>
      <c r="D558" s="356"/>
      <c r="E558" s="351"/>
      <c r="F558" s="351"/>
      <c r="G558" s="351"/>
      <c r="H558" s="351"/>
      <c r="I558" s="351"/>
      <c r="J558" s="351"/>
    </row>
  </sheetData>
  <mergeCells count="84">
    <mergeCell ref="A479:J482"/>
    <mergeCell ref="A423:B423"/>
    <mergeCell ref="A428:B428"/>
    <mergeCell ref="A433:B433"/>
    <mergeCell ref="A438:B438"/>
    <mergeCell ref="A443:B443"/>
    <mergeCell ref="A450:B450"/>
    <mergeCell ref="A455:B455"/>
    <mergeCell ref="A460:B460"/>
    <mergeCell ref="A467:B467"/>
    <mergeCell ref="A472:B472"/>
    <mergeCell ref="A477:J477"/>
    <mergeCell ref="I6:J6"/>
    <mergeCell ref="B1:H1"/>
    <mergeCell ref="A2:B2"/>
    <mergeCell ref="C2:H2"/>
    <mergeCell ref="A3:J3"/>
    <mergeCell ref="A4:H4"/>
    <mergeCell ref="A362:J362"/>
    <mergeCell ref="A418:B418"/>
    <mergeCell ref="A387:B387"/>
    <mergeCell ref="A396:B396"/>
    <mergeCell ref="A401:B401"/>
    <mergeCell ref="A406:B406"/>
    <mergeCell ref="A413:B413"/>
    <mergeCell ref="A368:J368"/>
    <mergeCell ref="A372:B372"/>
    <mergeCell ref="A377:B377"/>
    <mergeCell ref="A382:B382"/>
    <mergeCell ref="A487:J487"/>
    <mergeCell ref="A506:J507"/>
    <mergeCell ref="A509:J510"/>
    <mergeCell ref="A519:J519"/>
    <mergeCell ref="D520:H521"/>
    <mergeCell ref="A327:J327"/>
    <mergeCell ref="A334:J334"/>
    <mergeCell ref="A341:J341"/>
    <mergeCell ref="A348:J348"/>
    <mergeCell ref="A355:J355"/>
    <mergeCell ref="A252:J252"/>
    <mergeCell ref="A259:J259"/>
    <mergeCell ref="A266:J266"/>
    <mergeCell ref="A273:J273"/>
    <mergeCell ref="A280:J280"/>
    <mergeCell ref="A287:J287"/>
    <mergeCell ref="A294:J294"/>
    <mergeCell ref="A301:J301"/>
    <mergeCell ref="A313:J313"/>
    <mergeCell ref="A320:J320"/>
    <mergeCell ref="A179:J179"/>
    <mergeCell ref="A186:J186"/>
    <mergeCell ref="A193:J193"/>
    <mergeCell ref="A200:J200"/>
    <mergeCell ref="A207:J207"/>
    <mergeCell ref="A214:J214"/>
    <mergeCell ref="A221:J221"/>
    <mergeCell ref="A228:J228"/>
    <mergeCell ref="A235:J235"/>
    <mergeCell ref="A245:J245"/>
    <mergeCell ref="A109:J109"/>
    <mergeCell ref="A116:J116"/>
    <mergeCell ref="A123:J123"/>
    <mergeCell ref="A130:J130"/>
    <mergeCell ref="A137:J137"/>
    <mergeCell ref="A144:J144"/>
    <mergeCell ref="A151:J151"/>
    <mergeCell ref="A158:J158"/>
    <mergeCell ref="A165:J165"/>
    <mergeCell ref="A172:J172"/>
    <mergeCell ref="A39:J39"/>
    <mergeCell ref="A46:J46"/>
    <mergeCell ref="A53:J53"/>
    <mergeCell ref="A60:J60"/>
    <mergeCell ref="A67:J67"/>
    <mergeCell ref="A74:J74"/>
    <mergeCell ref="A81:J81"/>
    <mergeCell ref="A88:J88"/>
    <mergeCell ref="A95:J95"/>
    <mergeCell ref="A102:J102"/>
    <mergeCell ref="A32:J32"/>
    <mergeCell ref="A12:J13"/>
    <mergeCell ref="A15:J17"/>
    <mergeCell ref="A19:J19"/>
    <mergeCell ref="A25:J2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7">
    <outlinePr summaryBelow="0"/>
  </sheetPr>
  <dimension ref="A1:Y165"/>
  <sheetViews>
    <sheetView showGridLines="0" topLeftCell="A131" zoomScale="85" zoomScaleNormal="85" zoomScaleSheetLayoutView="80" workbookViewId="0">
      <selection activeCell="M154" sqref="M154"/>
    </sheetView>
  </sheetViews>
  <sheetFormatPr baseColWidth="10" defaultColWidth="11.44140625" defaultRowHeight="11.4" outlineLevelRow="2" outlineLevelCol="1"/>
  <cols>
    <col min="1" max="1" width="10.5546875" style="29" customWidth="1"/>
    <col min="2" max="2" width="8.33203125" style="29" customWidth="1"/>
    <col min="3" max="3" width="6.33203125" style="29" customWidth="1"/>
    <col min="4" max="4" width="16.33203125" style="29" customWidth="1"/>
    <col min="5" max="6" width="8.5546875" style="29" hidden="1" customWidth="1"/>
    <col min="7" max="7" width="8.5546875" style="30" hidden="1" customWidth="1"/>
    <col min="8" max="8" width="44.109375" style="31" customWidth="1"/>
    <col min="9" max="9" width="17.5546875" style="31" bestFit="1" customWidth="1"/>
    <col min="10" max="10" width="9.44140625" style="31" customWidth="1"/>
    <col min="11" max="11" width="18" style="31" bestFit="1" customWidth="1"/>
    <col min="12" max="12" width="9.5546875" style="31" customWidth="1"/>
    <col min="13" max="13" width="18.88671875" style="31" customWidth="1"/>
    <col min="14" max="14" width="10.33203125" style="31" customWidth="1"/>
    <col min="15" max="15" width="7.6640625" style="31" customWidth="1"/>
    <col min="16" max="16" width="12.109375" style="31" customWidth="1" outlineLevel="1"/>
    <col min="17" max="17" width="14.5546875" style="29" customWidth="1" outlineLevel="1" collapsed="1"/>
    <col min="18" max="18" width="13.44140625" style="32" bestFit="1" customWidth="1"/>
    <col min="19" max="19" width="11.5546875" style="33" bestFit="1" customWidth="1"/>
    <col min="20" max="20" width="11.44140625" style="29"/>
    <col min="21" max="25" width="11.5546875" style="29" bestFit="1" customWidth="1"/>
    <col min="26" max="16384" width="11.44140625" style="29"/>
  </cols>
  <sheetData>
    <row r="1" spans="1:21" s="6" customFormat="1" ht="16.2" customHeight="1" thickTop="1">
      <c r="A1" s="115" t="s">
        <v>0</v>
      </c>
      <c r="B1" s="483" t="s">
        <v>1359</v>
      </c>
      <c r="C1" s="484"/>
      <c r="D1" s="484"/>
      <c r="E1" s="484"/>
      <c r="F1" s="484"/>
      <c r="G1" s="484"/>
      <c r="H1" s="485"/>
      <c r="I1" s="425"/>
      <c r="J1" s="426"/>
      <c r="K1" s="4" t="s">
        <v>1</v>
      </c>
      <c r="L1" s="17"/>
      <c r="M1" s="5" t="s">
        <v>2</v>
      </c>
      <c r="N1" s="18"/>
      <c r="O1" s="18"/>
      <c r="P1" s="18"/>
      <c r="Q1" s="18"/>
      <c r="R1" s="18"/>
      <c r="T1" s="19"/>
      <c r="U1" s="20"/>
    </row>
    <row r="2" spans="1:21" s="6" customFormat="1" ht="15.75" customHeight="1">
      <c r="A2" s="496" t="s">
        <v>3</v>
      </c>
      <c r="B2" s="497"/>
      <c r="C2" s="488">
        <v>43343</v>
      </c>
      <c r="D2" s="488"/>
      <c r="E2" s="488"/>
      <c r="F2" s="488"/>
      <c r="G2" s="488"/>
      <c r="H2" s="488"/>
      <c r="I2" s="427"/>
      <c r="J2" s="428"/>
      <c r="K2" s="268" t="s">
        <v>1358</v>
      </c>
      <c r="L2" s="21"/>
      <c r="M2" s="407" t="str">
        <f>E!B4</f>
        <v>JCG</v>
      </c>
      <c r="N2" s="22"/>
      <c r="O2" s="22"/>
      <c r="P2" s="22"/>
      <c r="Q2" s="22"/>
      <c r="R2" s="22"/>
      <c r="T2" s="19"/>
      <c r="U2" s="20"/>
    </row>
    <row r="3" spans="1:21" s="6" customFormat="1" ht="13.5" customHeight="1">
      <c r="A3" s="490" t="s">
        <v>4</v>
      </c>
      <c r="B3" s="491"/>
      <c r="C3" s="491"/>
      <c r="D3" s="491"/>
      <c r="E3" s="491"/>
      <c r="F3" s="491"/>
      <c r="G3" s="491"/>
      <c r="H3" s="491"/>
      <c r="I3" s="491"/>
      <c r="J3" s="491"/>
      <c r="K3" s="491"/>
      <c r="L3" s="491"/>
      <c r="M3" s="492"/>
      <c r="N3" s="7"/>
      <c r="O3" s="7"/>
      <c r="P3" s="7"/>
      <c r="Q3" s="7"/>
      <c r="R3" s="7"/>
      <c r="T3" s="19"/>
      <c r="U3" s="20"/>
    </row>
    <row r="4" spans="1:21" s="6" customFormat="1" ht="17.25" customHeight="1" thickBot="1">
      <c r="A4" s="498" t="s">
        <v>942</v>
      </c>
      <c r="B4" s="499"/>
      <c r="C4" s="499"/>
      <c r="D4" s="499"/>
      <c r="E4" s="499"/>
      <c r="F4" s="499"/>
      <c r="G4" s="499"/>
      <c r="H4" s="499"/>
      <c r="I4" s="271"/>
      <c r="J4" s="272"/>
      <c r="K4" s="8" t="s">
        <v>5</v>
      </c>
      <c r="L4" s="23"/>
      <c r="M4" s="9" t="s">
        <v>6</v>
      </c>
      <c r="N4" s="18"/>
      <c r="O4" s="18"/>
      <c r="P4" s="18"/>
      <c r="Q4" s="18"/>
      <c r="R4" s="18"/>
      <c r="T4" s="19"/>
      <c r="U4" s="20"/>
    </row>
    <row r="5" spans="1:21" s="10" customFormat="1" ht="15.6" thickTop="1" thickBot="1">
      <c r="R5" s="19"/>
      <c r="S5" s="20"/>
    </row>
    <row r="6" spans="1:21" s="10" customFormat="1" ht="15" thickBot="1">
      <c r="K6" s="481" t="s">
        <v>946</v>
      </c>
      <c r="L6" s="502"/>
      <c r="M6" s="482"/>
      <c r="R6" s="19"/>
      <c r="S6" s="20"/>
    </row>
    <row r="7" spans="1:21" s="10" customFormat="1" ht="14.4">
      <c r="A7" s="12" t="s">
        <v>39</v>
      </c>
      <c r="D7" s="24"/>
      <c r="L7" s="25"/>
      <c r="N7" s="25"/>
      <c r="O7" s="25"/>
      <c r="P7" s="25"/>
      <c r="R7" s="19"/>
      <c r="S7" s="20"/>
    </row>
    <row r="8" spans="1:21" s="10" customFormat="1" ht="14.4">
      <c r="R8" s="19"/>
      <c r="S8" s="20"/>
    </row>
    <row r="9" spans="1:21" s="10" customFormat="1" ht="14.25" customHeight="1">
      <c r="A9" s="500" t="s">
        <v>40</v>
      </c>
      <c r="B9" s="500"/>
      <c r="C9" s="500"/>
      <c r="D9" s="500"/>
      <c r="E9" s="500"/>
      <c r="F9" s="500"/>
      <c r="G9" s="500"/>
      <c r="H9" s="500"/>
      <c r="I9" s="500"/>
      <c r="J9" s="500"/>
      <c r="K9" s="500"/>
      <c r="L9" s="26"/>
      <c r="M9" s="26"/>
      <c r="N9" s="26"/>
      <c r="O9" s="26"/>
      <c r="P9" s="26"/>
      <c r="R9" s="19"/>
      <c r="S9" s="20"/>
    </row>
    <row r="10" spans="1:21" s="10" customFormat="1" ht="14.4">
      <c r="A10" s="26"/>
      <c r="B10" s="26"/>
      <c r="C10" s="26"/>
      <c r="D10" s="26"/>
      <c r="R10" s="19"/>
      <c r="S10" s="20"/>
    </row>
    <row r="11" spans="1:21" s="10" customFormat="1" ht="14.4">
      <c r="A11" s="12" t="s">
        <v>41</v>
      </c>
      <c r="R11" s="19"/>
      <c r="S11" s="20"/>
    </row>
    <row r="12" spans="1:21" s="10" customFormat="1" ht="14.4">
      <c r="R12" s="19"/>
      <c r="S12" s="20"/>
    </row>
    <row r="13" spans="1:21" s="10" customFormat="1" ht="12.75" customHeight="1">
      <c r="A13" s="501" t="s">
        <v>937</v>
      </c>
      <c r="B13" s="500"/>
      <c r="C13" s="500"/>
      <c r="D13" s="500"/>
      <c r="E13" s="500"/>
      <c r="F13" s="500"/>
      <c r="G13" s="500"/>
      <c r="H13" s="500"/>
      <c r="I13" s="500"/>
      <c r="J13" s="500"/>
      <c r="K13" s="500"/>
      <c r="L13" s="26"/>
      <c r="M13" s="26"/>
      <c r="N13" s="26"/>
      <c r="O13" s="26"/>
      <c r="P13" s="26"/>
      <c r="R13" s="19"/>
      <c r="S13" s="20"/>
    </row>
    <row r="14" spans="1:21" s="10" customFormat="1" ht="14.4">
      <c r="A14" s="27"/>
      <c r="B14" s="27"/>
      <c r="C14" s="27"/>
      <c r="D14" s="27"/>
      <c r="R14" s="19"/>
      <c r="S14" s="20"/>
    </row>
    <row r="15" spans="1:21" s="10" customFormat="1" ht="14.4">
      <c r="A15" s="12" t="s">
        <v>42</v>
      </c>
      <c r="R15" s="19"/>
      <c r="S15" s="20"/>
    </row>
    <row r="16" spans="1:21" s="10" customFormat="1" ht="14.4">
      <c r="A16" s="12"/>
      <c r="R16" s="19"/>
      <c r="S16" s="20"/>
    </row>
    <row r="17" spans="1:19" s="10" customFormat="1" ht="14.4">
      <c r="A17" s="28" t="s">
        <v>1155</v>
      </c>
      <c r="O17" s="218"/>
      <c r="R17" s="19"/>
      <c r="S17" s="20"/>
    </row>
    <row r="18" spans="1:19" ht="12" thickBot="1">
      <c r="O18" s="219"/>
    </row>
    <row r="19" spans="1:19" ht="31.2">
      <c r="A19" s="34" t="s">
        <v>43</v>
      </c>
      <c r="B19" s="35"/>
      <c r="C19" s="36" t="s">
        <v>44</v>
      </c>
      <c r="D19" s="35"/>
      <c r="E19" s="37"/>
      <c r="F19" s="37"/>
      <c r="G19" s="38"/>
      <c r="H19" s="39"/>
      <c r="I19" s="274" t="s">
        <v>613</v>
      </c>
      <c r="J19" s="276" t="s">
        <v>45</v>
      </c>
      <c r="K19" s="275" t="s">
        <v>618</v>
      </c>
      <c r="L19" s="276" t="s">
        <v>45</v>
      </c>
      <c r="M19" s="276" t="s">
        <v>641</v>
      </c>
      <c r="N19" s="277" t="s">
        <v>45</v>
      </c>
      <c r="O19" s="228"/>
      <c r="P19" s="278" t="s">
        <v>933</v>
      </c>
      <c r="Q19" s="277" t="s">
        <v>47</v>
      </c>
      <c r="R19" s="29"/>
      <c r="S19" s="29"/>
    </row>
    <row r="20" spans="1:19" ht="15.6">
      <c r="A20" s="503"/>
      <c r="B20" s="504"/>
      <c r="C20" s="505" t="s">
        <v>48</v>
      </c>
      <c r="D20" s="505"/>
      <c r="E20" s="505"/>
      <c r="F20" s="505"/>
      <c r="G20" s="505"/>
      <c r="H20" s="505"/>
      <c r="I20" s="296">
        <f>+I21+I31+I35+I38+I45+I52+I53</f>
        <v>1231773.21</v>
      </c>
      <c r="J20" s="307">
        <f t="shared" ref="J20:J85" si="0">+I20/$I$89</f>
        <v>0.44511445419645007</v>
      </c>
      <c r="K20" s="297">
        <f>+K21+K31+K35+K38+K45+K52+K53</f>
        <v>1170148.53</v>
      </c>
      <c r="L20" s="307">
        <f>+K20/$K$89</f>
        <v>0.49846275919622129</v>
      </c>
      <c r="M20" s="297">
        <f>+M21+M31+M35+M38+M45+M52+M53</f>
        <v>1201969.3500000001</v>
      </c>
      <c r="N20" s="314">
        <f t="shared" ref="N20:N53" si="1">+M20/$M$89</f>
        <v>0.56151162353794737</v>
      </c>
      <c r="O20" s="229"/>
      <c r="P20" s="298">
        <f t="shared" ref="P20:P85" si="2">+I20-K20</f>
        <v>61624.679999999935</v>
      </c>
      <c r="Q20" s="314">
        <f t="shared" ref="Q20:Q85" si="3">IF(ISERROR(+(I20-K20)/K20)=TRUE,"",(I20-K20)/K20)</f>
        <v>5.2663981041791277E-2</v>
      </c>
      <c r="R20" s="29"/>
      <c r="S20" s="29"/>
    </row>
    <row r="21" spans="1:19" ht="13.2">
      <c r="A21" s="506"/>
      <c r="B21" s="507"/>
      <c r="C21" s="508" t="s">
        <v>49</v>
      </c>
      <c r="D21" s="508"/>
      <c r="E21" s="508"/>
      <c r="F21" s="508"/>
      <c r="G21" s="508"/>
      <c r="H21" s="508"/>
      <c r="I21" s="40">
        <f>SUM(I22:I30)</f>
        <v>14961.810000000001</v>
      </c>
      <c r="J21" s="308">
        <f t="shared" si="0"/>
        <v>5.4066104359754581E-3</v>
      </c>
      <c r="K21" s="40">
        <f>SUM(K22:K30)</f>
        <v>18355.010000000002</v>
      </c>
      <c r="L21" s="308">
        <f t="shared" ref="L21:L86" si="4">+K21/$K$89</f>
        <v>7.8189124671841741E-3</v>
      </c>
      <c r="M21" s="40">
        <f>SUM(M22:M30)</f>
        <v>23723.61</v>
      </c>
      <c r="N21" s="318">
        <f t="shared" si="1"/>
        <v>1.1082714186747842E-2</v>
      </c>
      <c r="O21" s="230"/>
      <c r="P21" s="226">
        <f t="shared" si="2"/>
        <v>-3393.2000000000007</v>
      </c>
      <c r="Q21" s="318">
        <f t="shared" si="3"/>
        <v>-0.18486505864066544</v>
      </c>
      <c r="R21" s="29"/>
      <c r="S21" s="29"/>
    </row>
    <row r="22" spans="1:19" ht="13.2" outlineLevel="1">
      <c r="A22" s="506" t="s">
        <v>50</v>
      </c>
      <c r="B22" s="507"/>
      <c r="C22" s="509" t="s">
        <v>51</v>
      </c>
      <c r="D22" s="509"/>
      <c r="E22" s="509"/>
      <c r="F22" s="509"/>
      <c r="G22" s="509"/>
      <c r="H22" s="509"/>
      <c r="I22" s="41">
        <f>+E!B13</f>
        <v>0</v>
      </c>
      <c r="J22" s="309">
        <f t="shared" si="0"/>
        <v>0</v>
      </c>
      <c r="K22" s="41">
        <f>+E!B167</f>
        <v>0</v>
      </c>
      <c r="L22" s="309">
        <f t="shared" si="4"/>
        <v>0</v>
      </c>
      <c r="M22" s="41">
        <f>+E!B314</f>
        <v>0</v>
      </c>
      <c r="N22" s="316">
        <f t="shared" si="1"/>
        <v>0</v>
      </c>
      <c r="O22" s="231"/>
      <c r="P22" s="223">
        <f t="shared" si="2"/>
        <v>0</v>
      </c>
      <c r="Q22" s="316" t="str">
        <f t="shared" si="3"/>
        <v/>
      </c>
      <c r="R22" s="29"/>
      <c r="S22" s="29"/>
    </row>
    <row r="23" spans="1:19" ht="13.2" outlineLevel="1">
      <c r="A23" s="506" t="s">
        <v>52</v>
      </c>
      <c r="B23" s="507"/>
      <c r="C23" s="510" t="s">
        <v>53</v>
      </c>
      <c r="D23" s="510"/>
      <c r="E23" s="510"/>
      <c r="F23" s="510"/>
      <c r="G23" s="510"/>
      <c r="H23" s="510"/>
      <c r="I23" s="41">
        <f>+E!B14</f>
        <v>0</v>
      </c>
      <c r="J23" s="310">
        <f t="shared" si="0"/>
        <v>0</v>
      </c>
      <c r="K23" s="41">
        <f>+E!B168</f>
        <v>0</v>
      </c>
      <c r="L23" s="309">
        <f t="shared" si="4"/>
        <v>0</v>
      </c>
      <c r="M23" s="41">
        <f>+E!B315</f>
        <v>0</v>
      </c>
      <c r="N23" s="316">
        <f t="shared" si="1"/>
        <v>0</v>
      </c>
      <c r="O23" s="231"/>
      <c r="P23" s="223">
        <f t="shared" si="2"/>
        <v>0</v>
      </c>
      <c r="Q23" s="316" t="str">
        <f t="shared" si="3"/>
        <v/>
      </c>
      <c r="R23" s="29"/>
      <c r="S23" s="29"/>
    </row>
    <row r="24" spans="1:19" ht="13.2" outlineLevel="1">
      <c r="A24" s="506" t="s">
        <v>54</v>
      </c>
      <c r="B24" s="507"/>
      <c r="C24" s="509" t="s">
        <v>55</v>
      </c>
      <c r="D24" s="509"/>
      <c r="E24" s="509"/>
      <c r="F24" s="509"/>
      <c r="G24" s="509"/>
      <c r="H24" s="509"/>
      <c r="I24" s="41">
        <v>9215.17</v>
      </c>
      <c r="J24" s="309">
        <f t="shared" si="0"/>
        <v>3.3300004672755477E-3</v>
      </c>
      <c r="K24" s="41">
        <v>11146.04</v>
      </c>
      <c r="L24" s="309">
        <f t="shared" si="4"/>
        <v>4.7480176320107426E-3</v>
      </c>
      <c r="M24" s="41">
        <v>13718.19</v>
      </c>
      <c r="N24" s="316">
        <f t="shared" si="1"/>
        <v>6.4085853261583031E-3</v>
      </c>
      <c r="O24" s="231"/>
      <c r="P24" s="223">
        <f t="shared" si="2"/>
        <v>-1930.8700000000008</v>
      </c>
      <c r="Q24" s="316">
        <f t="shared" si="3"/>
        <v>-0.17323372247004323</v>
      </c>
      <c r="R24" s="29"/>
      <c r="S24" s="29"/>
    </row>
    <row r="25" spans="1:19" ht="13.2" outlineLevel="1">
      <c r="A25" s="506">
        <v>204</v>
      </c>
      <c r="B25" s="507"/>
      <c r="C25" s="509" t="s">
        <v>56</v>
      </c>
      <c r="D25" s="509"/>
      <c r="E25" s="509"/>
      <c r="F25" s="509"/>
      <c r="G25" s="509"/>
      <c r="H25" s="509"/>
      <c r="I25" s="41">
        <f>+E!B16</f>
        <v>0</v>
      </c>
      <c r="J25" s="309">
        <f t="shared" si="0"/>
        <v>0</v>
      </c>
      <c r="K25" s="41">
        <f>+E!B170</f>
        <v>0</v>
      </c>
      <c r="L25" s="309">
        <f t="shared" si="4"/>
        <v>0</v>
      </c>
      <c r="M25" s="41">
        <f>+E!B317</f>
        <v>0</v>
      </c>
      <c r="N25" s="316">
        <f t="shared" si="1"/>
        <v>0</v>
      </c>
      <c r="O25" s="231"/>
      <c r="P25" s="223">
        <f t="shared" si="2"/>
        <v>0</v>
      </c>
      <c r="Q25" s="316" t="str">
        <f t="shared" si="3"/>
        <v/>
      </c>
      <c r="R25" s="29"/>
      <c r="S25" s="29"/>
    </row>
    <row r="26" spans="1:19" ht="13.2" outlineLevel="1">
      <c r="A26" s="506" t="s">
        <v>57</v>
      </c>
      <c r="B26" s="507"/>
      <c r="C26" s="510" t="s">
        <v>58</v>
      </c>
      <c r="D26" s="510"/>
      <c r="E26" s="510"/>
      <c r="F26" s="510"/>
      <c r="G26" s="510"/>
      <c r="H26" s="510"/>
      <c r="I26" s="41">
        <v>5746.64</v>
      </c>
      <c r="J26" s="310">
        <f t="shared" si="0"/>
        <v>2.0766099686999103E-3</v>
      </c>
      <c r="K26" s="41">
        <v>7208.97</v>
      </c>
      <c r="L26" s="309">
        <f t="shared" si="4"/>
        <v>3.0708948351734319E-3</v>
      </c>
      <c r="M26" s="41">
        <v>10005.42</v>
      </c>
      <c r="N26" s="316">
        <f t="shared" si="1"/>
        <v>4.6741288605895385E-3</v>
      </c>
      <c r="O26" s="231"/>
      <c r="P26" s="223">
        <f t="shared" si="2"/>
        <v>-1462.33</v>
      </c>
      <c r="Q26" s="316">
        <f t="shared" si="3"/>
        <v>-0.20284867325013142</v>
      </c>
      <c r="R26" s="29"/>
      <c r="S26" s="29"/>
    </row>
    <row r="27" spans="1:19" ht="13.2" outlineLevel="1">
      <c r="A27" s="506" t="s">
        <v>59</v>
      </c>
      <c r="B27" s="507"/>
      <c r="C27" s="511" t="s">
        <v>60</v>
      </c>
      <c r="D27" s="512"/>
      <c r="E27" s="512"/>
      <c r="F27" s="512"/>
      <c r="G27" s="512"/>
      <c r="H27" s="513"/>
      <c r="I27" s="41">
        <f>+E!B18</f>
        <v>0</v>
      </c>
      <c r="J27" s="310">
        <f t="shared" si="0"/>
        <v>0</v>
      </c>
      <c r="K27" s="41">
        <f>+E!B172</f>
        <v>0</v>
      </c>
      <c r="L27" s="309">
        <f t="shared" si="4"/>
        <v>0</v>
      </c>
      <c r="M27" s="41">
        <f>+E!B319</f>
        <v>0</v>
      </c>
      <c r="N27" s="316">
        <f t="shared" si="1"/>
        <v>0</v>
      </c>
      <c r="O27" s="231"/>
      <c r="P27" s="223">
        <f t="shared" si="2"/>
        <v>0</v>
      </c>
      <c r="Q27" s="316" t="str">
        <f t="shared" si="3"/>
        <v/>
      </c>
      <c r="R27" s="29"/>
      <c r="S27" s="29"/>
    </row>
    <row r="28" spans="1:19" ht="13.2" outlineLevel="1">
      <c r="C28" s="509" t="s">
        <v>1319</v>
      </c>
      <c r="D28" s="509"/>
      <c r="E28" s="509"/>
      <c r="F28" s="509"/>
      <c r="G28" s="509"/>
      <c r="H28" s="509"/>
      <c r="I28" s="41">
        <f>+E!B19</f>
        <v>0</v>
      </c>
      <c r="J28" s="309">
        <f t="shared" si="0"/>
        <v>0</v>
      </c>
      <c r="K28" s="41">
        <f>+E!B512</f>
        <v>0</v>
      </c>
      <c r="L28" s="309">
        <f t="shared" si="4"/>
        <v>0</v>
      </c>
      <c r="M28" s="41">
        <f>+E!B526</f>
        <v>0</v>
      </c>
      <c r="N28" s="316">
        <f t="shared" si="1"/>
        <v>0</v>
      </c>
      <c r="O28" s="231"/>
      <c r="P28" s="223">
        <f t="shared" si="2"/>
        <v>0</v>
      </c>
      <c r="Q28" s="316" t="str">
        <f t="shared" si="3"/>
        <v/>
      </c>
      <c r="R28" s="29"/>
      <c r="S28" s="29"/>
    </row>
    <row r="29" spans="1:19" ht="13.2" outlineLevel="1">
      <c r="A29" s="506"/>
      <c r="B29" s="507"/>
      <c r="C29" s="509" t="s">
        <v>1320</v>
      </c>
      <c r="D29" s="509"/>
      <c r="E29" s="509"/>
      <c r="F29" s="509"/>
      <c r="G29" s="509"/>
      <c r="H29" s="509"/>
      <c r="I29" s="41">
        <f>+E!B20</f>
        <v>0</v>
      </c>
      <c r="J29" s="309">
        <f t="shared" si="0"/>
        <v>0</v>
      </c>
      <c r="K29" s="41">
        <f>+E!B511</f>
        <v>0</v>
      </c>
      <c r="L29" s="309">
        <f t="shared" si="4"/>
        <v>0</v>
      </c>
      <c r="M29" s="41">
        <f>+E!B525</f>
        <v>0</v>
      </c>
      <c r="N29" s="316">
        <f t="shared" si="1"/>
        <v>0</v>
      </c>
      <c r="O29" s="231"/>
      <c r="P29" s="223">
        <f t="shared" ref="P29:P30" si="5">+I29-K29</f>
        <v>0</v>
      </c>
      <c r="Q29" s="316" t="str">
        <f t="shared" ref="Q29:Q30" si="6">IF(ISERROR(+(I29-K29)/K29)=TRUE,"",(I29-K29)/K29)</f>
        <v/>
      </c>
      <c r="R29" s="29"/>
      <c r="S29" s="29"/>
    </row>
    <row r="30" spans="1:19" ht="13.2" outlineLevel="1">
      <c r="A30" s="506" t="s">
        <v>61</v>
      </c>
      <c r="B30" s="507"/>
      <c r="C30" s="509" t="s">
        <v>1321</v>
      </c>
      <c r="D30" s="509"/>
      <c r="E30" s="509"/>
      <c r="F30" s="509"/>
      <c r="G30" s="509"/>
      <c r="H30" s="509"/>
      <c r="I30" s="41">
        <f>+E!B21</f>
        <v>0</v>
      </c>
      <c r="J30" s="309">
        <f t="shared" si="0"/>
        <v>0</v>
      </c>
      <c r="K30" s="41">
        <f>+E!B173</f>
        <v>0</v>
      </c>
      <c r="L30" s="309">
        <f t="shared" si="4"/>
        <v>0</v>
      </c>
      <c r="M30" s="41">
        <f>+E!B320</f>
        <v>0</v>
      </c>
      <c r="N30" s="316">
        <f t="shared" si="1"/>
        <v>0</v>
      </c>
      <c r="O30" s="231"/>
      <c r="P30" s="223">
        <f t="shared" si="5"/>
        <v>0</v>
      </c>
      <c r="Q30" s="316" t="str">
        <f t="shared" si="6"/>
        <v/>
      </c>
      <c r="R30" s="29"/>
      <c r="S30" s="29"/>
    </row>
    <row r="31" spans="1:19" ht="13.2">
      <c r="A31" s="506"/>
      <c r="B31" s="507"/>
      <c r="C31" s="508" t="s">
        <v>62</v>
      </c>
      <c r="D31" s="508"/>
      <c r="E31" s="508"/>
      <c r="F31" s="508"/>
      <c r="G31" s="508"/>
      <c r="H31" s="508"/>
      <c r="I31" s="43">
        <f>SUM(I32:I34)</f>
        <v>422091.72</v>
      </c>
      <c r="J31" s="311">
        <f t="shared" si="0"/>
        <v>0.15252736789805718</v>
      </c>
      <c r="K31" s="43">
        <f>SUM(K32:K34)</f>
        <v>357073.83999999997</v>
      </c>
      <c r="L31" s="311">
        <f t="shared" si="4"/>
        <v>0.15210719576188336</v>
      </c>
      <c r="M31" s="43">
        <f>SUM(M32:M34)</f>
        <v>384986.62</v>
      </c>
      <c r="N31" s="315">
        <f t="shared" si="1"/>
        <v>0.17985022832452988</v>
      </c>
      <c r="O31" s="230"/>
      <c r="P31" s="224">
        <f t="shared" si="2"/>
        <v>65017.880000000005</v>
      </c>
      <c r="Q31" s="315">
        <f t="shared" si="3"/>
        <v>0.1820852516107033</v>
      </c>
      <c r="R31" s="29"/>
      <c r="S31" s="29"/>
    </row>
    <row r="32" spans="1:19" ht="13.2" outlineLevel="1">
      <c r="A32" s="506" t="s">
        <v>63</v>
      </c>
      <c r="B32" s="507"/>
      <c r="C32" s="510" t="s">
        <v>64</v>
      </c>
      <c r="D32" s="510"/>
      <c r="E32" s="510"/>
      <c r="F32" s="510"/>
      <c r="G32" s="510"/>
      <c r="H32" s="510"/>
      <c r="I32" s="42">
        <v>368530.54</v>
      </c>
      <c r="J32" s="310">
        <f t="shared" si="0"/>
        <v>0.13317246132250515</v>
      </c>
      <c r="K32" s="42">
        <v>309617.42</v>
      </c>
      <c r="L32" s="309">
        <f t="shared" si="4"/>
        <v>0.13189159282917298</v>
      </c>
      <c r="M32" s="42">
        <v>323243.28999999998</v>
      </c>
      <c r="N32" s="316">
        <f t="shared" si="1"/>
        <v>0.15100623369942628</v>
      </c>
      <c r="O32" s="231"/>
      <c r="P32" s="223">
        <f t="shared" si="2"/>
        <v>58913.119999999995</v>
      </c>
      <c r="Q32" s="316">
        <f t="shared" si="3"/>
        <v>0.19027714913456742</v>
      </c>
      <c r="R32" s="29"/>
      <c r="S32" s="29"/>
    </row>
    <row r="33" spans="1:19" ht="13.2" outlineLevel="1">
      <c r="A33" s="506" t="s">
        <v>65</v>
      </c>
      <c r="B33" s="507"/>
      <c r="C33" s="510" t="s">
        <v>66</v>
      </c>
      <c r="D33" s="510"/>
      <c r="E33" s="510"/>
      <c r="F33" s="510"/>
      <c r="G33" s="510"/>
      <c r="H33" s="510"/>
      <c r="I33" s="42">
        <v>53561.18</v>
      </c>
      <c r="J33" s="310">
        <f t="shared" si="0"/>
        <v>1.9354906575552021E-2</v>
      </c>
      <c r="K33" s="42">
        <v>47456.42</v>
      </c>
      <c r="L33" s="309">
        <f t="shared" si="4"/>
        <v>2.021560293271038E-2</v>
      </c>
      <c r="M33" s="42">
        <v>61743.33</v>
      </c>
      <c r="N33" s="316">
        <f t="shared" si="1"/>
        <v>2.8843994625103585E-2</v>
      </c>
      <c r="O33" s="231"/>
      <c r="P33" s="223">
        <f t="shared" si="2"/>
        <v>6104.760000000002</v>
      </c>
      <c r="Q33" s="316">
        <f t="shared" si="3"/>
        <v>0.12863928631784705</v>
      </c>
      <c r="R33" s="29"/>
      <c r="S33" s="29"/>
    </row>
    <row r="34" spans="1:19" ht="13.2" outlineLevel="1">
      <c r="A34" s="506">
        <v>23</v>
      </c>
      <c r="B34" s="507"/>
      <c r="C34" s="509" t="s">
        <v>67</v>
      </c>
      <c r="D34" s="509"/>
      <c r="E34" s="509"/>
      <c r="F34" s="509"/>
      <c r="G34" s="509"/>
      <c r="H34" s="509"/>
      <c r="I34" s="42">
        <v>0</v>
      </c>
      <c r="J34" s="309">
        <f t="shared" si="0"/>
        <v>0</v>
      </c>
      <c r="K34" s="42">
        <f>+E!B176</f>
        <v>0</v>
      </c>
      <c r="L34" s="309">
        <f t="shared" si="4"/>
        <v>0</v>
      </c>
      <c r="M34" s="42">
        <f>+E!B323</f>
        <v>0</v>
      </c>
      <c r="N34" s="316">
        <f t="shared" si="1"/>
        <v>0</v>
      </c>
      <c r="O34" s="231"/>
      <c r="P34" s="223">
        <f t="shared" si="2"/>
        <v>0</v>
      </c>
      <c r="Q34" s="316" t="str">
        <f t="shared" si="3"/>
        <v/>
      </c>
      <c r="R34" s="29"/>
      <c r="S34" s="29"/>
    </row>
    <row r="35" spans="1:19" ht="13.2">
      <c r="A35" s="506"/>
      <c r="B35" s="507"/>
      <c r="C35" s="508" t="s">
        <v>68</v>
      </c>
      <c r="D35" s="508"/>
      <c r="E35" s="508"/>
      <c r="F35" s="508"/>
      <c r="G35" s="508"/>
      <c r="H35" s="508"/>
      <c r="I35" s="43">
        <f>SUM(I36:I37)</f>
        <v>0</v>
      </c>
      <c r="J35" s="311">
        <f t="shared" si="0"/>
        <v>0</v>
      </c>
      <c r="K35" s="43">
        <f>SUM(K36:K37)</f>
        <v>0</v>
      </c>
      <c r="L35" s="311">
        <f t="shared" si="4"/>
        <v>0</v>
      </c>
      <c r="M35" s="43">
        <f>SUM(M36:M37)</f>
        <v>0</v>
      </c>
      <c r="N35" s="315">
        <f t="shared" si="1"/>
        <v>0</v>
      </c>
      <c r="O35" s="230"/>
      <c r="P35" s="224">
        <f t="shared" si="2"/>
        <v>0</v>
      </c>
      <c r="Q35" s="315" t="str">
        <f t="shared" si="3"/>
        <v/>
      </c>
      <c r="R35" s="29"/>
      <c r="S35" s="29"/>
    </row>
    <row r="36" spans="1:19" ht="13.2" outlineLevel="1">
      <c r="A36" s="506" t="s">
        <v>69</v>
      </c>
      <c r="B36" s="507"/>
      <c r="C36" s="509" t="s">
        <v>70</v>
      </c>
      <c r="D36" s="509"/>
      <c r="E36" s="509"/>
      <c r="F36" s="509"/>
      <c r="G36" s="509"/>
      <c r="H36" s="509"/>
      <c r="I36" s="41">
        <f>+E!B25</f>
        <v>0</v>
      </c>
      <c r="J36" s="309">
        <f t="shared" si="0"/>
        <v>0</v>
      </c>
      <c r="K36" s="41">
        <f>+E!B177</f>
        <v>0</v>
      </c>
      <c r="L36" s="309">
        <f t="shared" si="4"/>
        <v>0</v>
      </c>
      <c r="M36" s="41">
        <f>+E!B324</f>
        <v>0</v>
      </c>
      <c r="N36" s="316">
        <f t="shared" si="1"/>
        <v>0</v>
      </c>
      <c r="O36" s="231"/>
      <c r="P36" s="223">
        <f t="shared" si="2"/>
        <v>0</v>
      </c>
      <c r="Q36" s="316" t="str">
        <f t="shared" si="3"/>
        <v/>
      </c>
      <c r="R36" s="29"/>
      <c r="S36" s="29"/>
    </row>
    <row r="37" spans="1:19" ht="13.2" outlineLevel="1">
      <c r="A37" s="506" t="s">
        <v>71</v>
      </c>
      <c r="B37" s="507"/>
      <c r="C37" s="509" t="s">
        <v>72</v>
      </c>
      <c r="D37" s="509"/>
      <c r="E37" s="509"/>
      <c r="F37" s="509"/>
      <c r="G37" s="509"/>
      <c r="H37" s="509"/>
      <c r="I37" s="41">
        <f>+E!B26</f>
        <v>0</v>
      </c>
      <c r="J37" s="309">
        <f t="shared" si="0"/>
        <v>0</v>
      </c>
      <c r="K37" s="41">
        <f>+E!B178</f>
        <v>0</v>
      </c>
      <c r="L37" s="309">
        <f t="shared" si="4"/>
        <v>0</v>
      </c>
      <c r="M37" s="41">
        <f>+E!B325</f>
        <v>0</v>
      </c>
      <c r="N37" s="316">
        <f t="shared" si="1"/>
        <v>0</v>
      </c>
      <c r="O37" s="231"/>
      <c r="P37" s="223">
        <f t="shared" si="2"/>
        <v>0</v>
      </c>
      <c r="Q37" s="316" t="str">
        <f t="shared" si="3"/>
        <v/>
      </c>
      <c r="R37" s="29"/>
      <c r="S37" s="29"/>
    </row>
    <row r="38" spans="1:19" ht="13.2">
      <c r="A38" s="506"/>
      <c r="B38" s="507"/>
      <c r="C38" s="508" t="s">
        <v>73</v>
      </c>
      <c r="D38" s="508"/>
      <c r="E38" s="508"/>
      <c r="F38" s="508"/>
      <c r="G38" s="508"/>
      <c r="H38" s="508"/>
      <c r="I38" s="43">
        <f>SUM(I39:I44)</f>
        <v>0</v>
      </c>
      <c r="J38" s="311">
        <f t="shared" si="0"/>
        <v>0</v>
      </c>
      <c r="K38" s="43">
        <f>SUM(K39:K44)</f>
        <v>0</v>
      </c>
      <c r="L38" s="311">
        <f t="shared" si="4"/>
        <v>0</v>
      </c>
      <c r="M38" s="43">
        <f>SUM(M39:M44)</f>
        <v>0</v>
      </c>
      <c r="N38" s="315">
        <f t="shared" si="1"/>
        <v>0</v>
      </c>
      <c r="O38" s="230"/>
      <c r="P38" s="224">
        <f t="shared" si="2"/>
        <v>0</v>
      </c>
      <c r="Q38" s="315" t="str">
        <f t="shared" si="3"/>
        <v/>
      </c>
      <c r="R38" s="29"/>
      <c r="S38" s="29"/>
    </row>
    <row r="39" spans="1:19" ht="13.2" outlineLevel="1">
      <c r="A39" s="506" t="s">
        <v>74</v>
      </c>
      <c r="B39" s="507"/>
      <c r="C39" s="509" t="s">
        <v>75</v>
      </c>
      <c r="D39" s="509"/>
      <c r="E39" s="509"/>
      <c r="F39" s="509"/>
      <c r="G39" s="509"/>
      <c r="H39" s="509"/>
      <c r="I39" s="41">
        <v>0</v>
      </c>
      <c r="J39" s="309">
        <f t="shared" si="0"/>
        <v>0</v>
      </c>
      <c r="K39" s="41">
        <v>0</v>
      </c>
      <c r="L39" s="309">
        <f t="shared" si="4"/>
        <v>0</v>
      </c>
      <c r="M39" s="41">
        <f>+E!B326</f>
        <v>0</v>
      </c>
      <c r="N39" s="316">
        <f t="shared" si="1"/>
        <v>0</v>
      </c>
      <c r="O39" s="231"/>
      <c r="P39" s="223">
        <f t="shared" si="2"/>
        <v>0</v>
      </c>
      <c r="Q39" s="316" t="str">
        <f t="shared" si="3"/>
        <v/>
      </c>
      <c r="R39" s="29"/>
      <c r="S39" s="29"/>
    </row>
    <row r="40" spans="1:19" ht="13.2" outlineLevel="1">
      <c r="A40" s="506" t="s">
        <v>76</v>
      </c>
      <c r="B40" s="507"/>
      <c r="C40" s="509" t="s">
        <v>77</v>
      </c>
      <c r="D40" s="509"/>
      <c r="E40" s="509"/>
      <c r="F40" s="509"/>
      <c r="G40" s="509"/>
      <c r="H40" s="509"/>
      <c r="I40" s="41">
        <f>+E!B28</f>
        <v>0</v>
      </c>
      <c r="J40" s="309">
        <f t="shared" si="0"/>
        <v>0</v>
      </c>
      <c r="K40" s="41">
        <f>+E!B180</f>
        <v>0</v>
      </c>
      <c r="L40" s="309">
        <f t="shared" si="4"/>
        <v>0</v>
      </c>
      <c r="M40" s="41">
        <f>+E!B327</f>
        <v>0</v>
      </c>
      <c r="N40" s="316">
        <f t="shared" si="1"/>
        <v>0</v>
      </c>
      <c r="O40" s="231"/>
      <c r="P40" s="223">
        <f t="shared" si="2"/>
        <v>0</v>
      </c>
      <c r="Q40" s="316" t="str">
        <f t="shared" si="3"/>
        <v/>
      </c>
      <c r="R40" s="29"/>
      <c r="S40" s="29"/>
    </row>
    <row r="41" spans="1:19" ht="13.2" outlineLevel="1">
      <c r="A41" s="506" t="s">
        <v>78</v>
      </c>
      <c r="B41" s="507"/>
      <c r="C41" s="509" t="s">
        <v>79</v>
      </c>
      <c r="D41" s="509"/>
      <c r="E41" s="509"/>
      <c r="F41" s="509"/>
      <c r="G41" s="509"/>
      <c r="H41" s="509"/>
      <c r="I41" s="41">
        <f>+E!B29</f>
        <v>0</v>
      </c>
      <c r="J41" s="309">
        <f t="shared" si="0"/>
        <v>0</v>
      </c>
      <c r="K41" s="41">
        <f>+E!B181</f>
        <v>0</v>
      </c>
      <c r="L41" s="309">
        <f t="shared" si="4"/>
        <v>0</v>
      </c>
      <c r="M41" s="41">
        <f>+E!B328</f>
        <v>0</v>
      </c>
      <c r="N41" s="316">
        <f t="shared" si="1"/>
        <v>0</v>
      </c>
      <c r="O41" s="231"/>
      <c r="P41" s="223">
        <f t="shared" si="2"/>
        <v>0</v>
      </c>
      <c r="Q41" s="316" t="str">
        <f t="shared" si="3"/>
        <v/>
      </c>
      <c r="R41" s="29"/>
      <c r="S41" s="29"/>
    </row>
    <row r="42" spans="1:19" ht="13.2" outlineLevel="1">
      <c r="A42" s="506"/>
      <c r="B42" s="507"/>
      <c r="C42" s="509" t="s">
        <v>80</v>
      </c>
      <c r="D42" s="509"/>
      <c r="E42" s="509"/>
      <c r="F42" s="509"/>
      <c r="G42" s="509"/>
      <c r="H42" s="509"/>
      <c r="I42" s="41">
        <f>+E!B30</f>
        <v>0</v>
      </c>
      <c r="J42" s="309">
        <f t="shared" si="0"/>
        <v>0</v>
      </c>
      <c r="K42" s="41">
        <f>+E!B182</f>
        <v>0</v>
      </c>
      <c r="L42" s="309">
        <f t="shared" si="4"/>
        <v>0</v>
      </c>
      <c r="M42" s="41">
        <f>+E!B329</f>
        <v>0</v>
      </c>
      <c r="N42" s="316">
        <f t="shared" si="1"/>
        <v>0</v>
      </c>
      <c r="O42" s="231"/>
      <c r="P42" s="223">
        <f t="shared" si="2"/>
        <v>0</v>
      </c>
      <c r="Q42" s="316" t="str">
        <f t="shared" si="3"/>
        <v/>
      </c>
      <c r="R42" s="29"/>
      <c r="S42" s="29"/>
    </row>
    <row r="43" spans="1:19" ht="13.2" outlineLevel="1">
      <c r="A43" s="514"/>
      <c r="B43" s="515"/>
      <c r="C43" s="509" t="s">
        <v>81</v>
      </c>
      <c r="D43" s="509"/>
      <c r="E43" s="509"/>
      <c r="F43" s="509"/>
      <c r="G43" s="509"/>
      <c r="H43" s="509"/>
      <c r="I43" s="41">
        <f>+E!B31</f>
        <v>0</v>
      </c>
      <c r="J43" s="309">
        <f t="shared" si="0"/>
        <v>0</v>
      </c>
      <c r="K43" s="41">
        <f>+E!B183</f>
        <v>0</v>
      </c>
      <c r="L43" s="309">
        <f t="shared" si="4"/>
        <v>0</v>
      </c>
      <c r="M43" s="41">
        <f>+E!B330</f>
        <v>0</v>
      </c>
      <c r="N43" s="316">
        <f t="shared" si="1"/>
        <v>0</v>
      </c>
      <c r="O43" s="231"/>
      <c r="P43" s="223">
        <f t="shared" si="2"/>
        <v>0</v>
      </c>
      <c r="Q43" s="316" t="str">
        <f t="shared" si="3"/>
        <v/>
      </c>
      <c r="R43" s="29"/>
      <c r="S43" s="29"/>
    </row>
    <row r="44" spans="1:19" ht="13.2" outlineLevel="1">
      <c r="A44" s="514"/>
      <c r="B44" s="515"/>
      <c r="C44" s="509" t="s">
        <v>82</v>
      </c>
      <c r="D44" s="509"/>
      <c r="E44" s="509"/>
      <c r="F44" s="509"/>
      <c r="G44" s="509"/>
      <c r="H44" s="509"/>
      <c r="I44" s="41">
        <f>+E!B32</f>
        <v>0</v>
      </c>
      <c r="J44" s="309">
        <f t="shared" si="0"/>
        <v>0</v>
      </c>
      <c r="K44" s="41">
        <f>+E!B184</f>
        <v>0</v>
      </c>
      <c r="L44" s="309">
        <f t="shared" si="4"/>
        <v>0</v>
      </c>
      <c r="M44" s="41">
        <f>+E!B331</f>
        <v>0</v>
      </c>
      <c r="N44" s="316">
        <f t="shared" si="1"/>
        <v>0</v>
      </c>
      <c r="O44" s="231"/>
      <c r="P44" s="223">
        <f t="shared" si="2"/>
        <v>0</v>
      </c>
      <c r="Q44" s="316" t="str">
        <f t="shared" si="3"/>
        <v/>
      </c>
      <c r="R44" s="29"/>
      <c r="S44" s="29"/>
    </row>
    <row r="45" spans="1:19" ht="13.2">
      <c r="A45" s="514"/>
      <c r="B45" s="515"/>
      <c r="C45" s="508" t="s">
        <v>83</v>
      </c>
      <c r="D45" s="508"/>
      <c r="E45" s="508"/>
      <c r="F45" s="508"/>
      <c r="G45" s="508"/>
      <c r="H45" s="508"/>
      <c r="I45" s="43">
        <f>SUM(I46:I51)</f>
        <v>794719.68</v>
      </c>
      <c r="J45" s="311">
        <f t="shared" si="0"/>
        <v>0.28718047586241752</v>
      </c>
      <c r="K45" s="43">
        <f>SUM(K46:K51)</f>
        <v>794719.68</v>
      </c>
      <c r="L45" s="311">
        <f t="shared" si="4"/>
        <v>0.3385366509671538</v>
      </c>
      <c r="M45" s="43">
        <f>SUM(M46:M51)</f>
        <v>793259.12</v>
      </c>
      <c r="N45" s="315">
        <f t="shared" si="1"/>
        <v>0.37057868102666958</v>
      </c>
      <c r="O45" s="230"/>
      <c r="P45" s="224">
        <f t="shared" si="2"/>
        <v>0</v>
      </c>
      <c r="Q45" s="315">
        <f t="shared" si="3"/>
        <v>0</v>
      </c>
      <c r="R45" s="29"/>
      <c r="S45" s="29"/>
    </row>
    <row r="46" spans="1:19" ht="13.2" outlineLevel="1">
      <c r="A46" s="506" t="s">
        <v>84</v>
      </c>
      <c r="B46" s="507"/>
      <c r="C46" s="509" t="s">
        <v>75</v>
      </c>
      <c r="D46" s="509"/>
      <c r="E46" s="509"/>
      <c r="F46" s="509"/>
      <c r="G46" s="509"/>
      <c r="H46" s="509"/>
      <c r="I46" s="41">
        <v>787698.66</v>
      </c>
      <c r="J46" s="309">
        <f t="shared" si="0"/>
        <v>0.28464335501920451</v>
      </c>
      <c r="K46" s="41">
        <v>787698.66</v>
      </c>
      <c r="L46" s="309">
        <f t="shared" si="4"/>
        <v>0.33554581953691487</v>
      </c>
      <c r="M46" s="41">
        <v>787698.66</v>
      </c>
      <c r="N46" s="316">
        <f t="shared" si="1"/>
        <v>0.36798105828178196</v>
      </c>
      <c r="O46" s="231"/>
      <c r="P46" s="223">
        <f t="shared" si="2"/>
        <v>0</v>
      </c>
      <c r="Q46" s="316">
        <f t="shared" si="3"/>
        <v>0</v>
      </c>
      <c r="R46" s="29"/>
      <c r="S46" s="29"/>
    </row>
    <row r="47" spans="1:19" ht="13.2" outlineLevel="1">
      <c r="A47" s="506" t="s">
        <v>85</v>
      </c>
      <c r="B47" s="507"/>
      <c r="C47" s="509" t="s">
        <v>86</v>
      </c>
      <c r="D47" s="509"/>
      <c r="E47" s="509"/>
      <c r="F47" s="509"/>
      <c r="G47" s="509"/>
      <c r="H47" s="509"/>
      <c r="I47" s="41">
        <v>0</v>
      </c>
      <c r="J47" s="309">
        <f t="shared" si="0"/>
        <v>0</v>
      </c>
      <c r="K47" s="41">
        <v>0</v>
      </c>
      <c r="L47" s="309">
        <f t="shared" si="4"/>
        <v>0</v>
      </c>
      <c r="M47" s="41">
        <f>+E!B333</f>
        <v>0</v>
      </c>
      <c r="N47" s="316">
        <f t="shared" si="1"/>
        <v>0</v>
      </c>
      <c r="O47" s="231"/>
      <c r="P47" s="223">
        <f t="shared" si="2"/>
        <v>0</v>
      </c>
      <c r="Q47" s="316" t="str">
        <f t="shared" si="3"/>
        <v/>
      </c>
      <c r="R47" s="29"/>
      <c r="S47" s="29"/>
    </row>
    <row r="48" spans="1:19" ht="13.2" outlineLevel="1">
      <c r="A48" s="506" t="s">
        <v>87</v>
      </c>
      <c r="B48" s="507"/>
      <c r="C48" s="509" t="s">
        <v>79</v>
      </c>
      <c r="D48" s="509"/>
      <c r="E48" s="509"/>
      <c r="F48" s="509"/>
      <c r="G48" s="509"/>
      <c r="H48" s="509"/>
      <c r="I48" s="41">
        <f>+E!B35</f>
        <v>0</v>
      </c>
      <c r="J48" s="309">
        <f t="shared" si="0"/>
        <v>0</v>
      </c>
      <c r="K48" s="41">
        <f>+E!B187</f>
        <v>0</v>
      </c>
      <c r="L48" s="309">
        <f t="shared" si="4"/>
        <v>0</v>
      </c>
      <c r="M48" s="41">
        <f>+E!B334</f>
        <v>0</v>
      </c>
      <c r="N48" s="316">
        <f t="shared" si="1"/>
        <v>0</v>
      </c>
      <c r="O48" s="231"/>
      <c r="P48" s="223">
        <f t="shared" si="2"/>
        <v>0</v>
      </c>
      <c r="Q48" s="316" t="str">
        <f t="shared" si="3"/>
        <v/>
      </c>
      <c r="R48" s="29"/>
      <c r="S48" s="29"/>
    </row>
    <row r="49" spans="1:19" ht="13.2" outlineLevel="1">
      <c r="A49" s="506">
        <v>255</v>
      </c>
      <c r="B49" s="507"/>
      <c r="C49" s="509" t="s">
        <v>80</v>
      </c>
      <c r="D49" s="509"/>
      <c r="E49" s="509"/>
      <c r="F49" s="509"/>
      <c r="G49" s="509"/>
      <c r="H49" s="509"/>
      <c r="I49" s="41">
        <f>+E!B36</f>
        <v>0</v>
      </c>
      <c r="J49" s="309">
        <f t="shared" si="0"/>
        <v>0</v>
      </c>
      <c r="K49" s="41">
        <f>+E!B188</f>
        <v>0</v>
      </c>
      <c r="L49" s="309">
        <f t="shared" si="4"/>
        <v>0</v>
      </c>
      <c r="M49" s="41">
        <f>+E!B335</f>
        <v>0</v>
      </c>
      <c r="N49" s="316">
        <f t="shared" si="1"/>
        <v>0</v>
      </c>
      <c r="O49" s="231"/>
      <c r="P49" s="223">
        <f t="shared" si="2"/>
        <v>0</v>
      </c>
      <c r="Q49" s="316" t="str">
        <f t="shared" si="3"/>
        <v/>
      </c>
      <c r="R49" s="29"/>
      <c r="S49" s="29"/>
    </row>
    <row r="50" spans="1:19" ht="13.2" outlineLevel="1">
      <c r="A50" s="506" t="s">
        <v>88</v>
      </c>
      <c r="B50" s="507"/>
      <c r="C50" s="509" t="s">
        <v>81</v>
      </c>
      <c r="D50" s="509"/>
      <c r="E50" s="509"/>
      <c r="F50" s="509"/>
      <c r="G50" s="509"/>
      <c r="H50" s="509"/>
      <c r="I50" s="41">
        <v>7021.02</v>
      </c>
      <c r="J50" s="309">
        <f t="shared" si="0"/>
        <v>2.5371208432129811E-3</v>
      </c>
      <c r="K50" s="41">
        <v>7021.02</v>
      </c>
      <c r="L50" s="309">
        <f t="shared" si="4"/>
        <v>2.9908314302389064E-3</v>
      </c>
      <c r="M50" s="41">
        <v>5560.46</v>
      </c>
      <c r="N50" s="316">
        <f t="shared" si="1"/>
        <v>2.5976227448876415E-3</v>
      </c>
      <c r="O50" s="231"/>
      <c r="P50" s="223">
        <f t="shared" si="2"/>
        <v>0</v>
      </c>
      <c r="Q50" s="316">
        <f t="shared" si="3"/>
        <v>0</v>
      </c>
      <c r="R50" s="29"/>
      <c r="S50" s="29"/>
    </row>
    <row r="51" spans="1:19" ht="13.2" outlineLevel="1">
      <c r="A51" s="506">
        <v>257</v>
      </c>
      <c r="B51" s="507"/>
      <c r="C51" s="509" t="s">
        <v>82</v>
      </c>
      <c r="D51" s="509"/>
      <c r="E51" s="509"/>
      <c r="F51" s="509"/>
      <c r="G51" s="509"/>
      <c r="H51" s="509"/>
      <c r="I51" s="41">
        <f>+E!B38</f>
        <v>0</v>
      </c>
      <c r="J51" s="309">
        <f t="shared" si="0"/>
        <v>0</v>
      </c>
      <c r="K51" s="41">
        <f>+E!B190</f>
        <v>0</v>
      </c>
      <c r="L51" s="309">
        <f t="shared" si="4"/>
        <v>0</v>
      </c>
      <c r="M51" s="41">
        <f>+E!B337</f>
        <v>0</v>
      </c>
      <c r="N51" s="316">
        <f t="shared" si="1"/>
        <v>0</v>
      </c>
      <c r="O51" s="231"/>
      <c r="P51" s="223">
        <f t="shared" si="2"/>
        <v>0</v>
      </c>
      <c r="Q51" s="316" t="str">
        <f t="shared" si="3"/>
        <v/>
      </c>
      <c r="R51" s="29"/>
      <c r="S51" s="29"/>
    </row>
    <row r="52" spans="1:19" ht="13.2">
      <c r="A52" s="506">
        <v>474</v>
      </c>
      <c r="B52" s="507"/>
      <c r="C52" s="508" t="s">
        <v>89</v>
      </c>
      <c r="D52" s="508"/>
      <c r="E52" s="508"/>
      <c r="F52" s="508"/>
      <c r="G52" s="508"/>
      <c r="H52" s="508"/>
      <c r="I52" s="43">
        <v>0</v>
      </c>
      <c r="J52" s="311">
        <f t="shared" si="0"/>
        <v>0</v>
      </c>
      <c r="K52" s="43">
        <v>0</v>
      </c>
      <c r="L52" s="311">
        <f t="shared" si="4"/>
        <v>0</v>
      </c>
      <c r="M52" s="43">
        <f>+E!B338</f>
        <v>0</v>
      </c>
      <c r="N52" s="315">
        <f t="shared" si="1"/>
        <v>0</v>
      </c>
      <c r="O52" s="230"/>
      <c r="P52" s="224">
        <f t="shared" si="2"/>
        <v>0</v>
      </c>
      <c r="Q52" s="315" t="str">
        <f t="shared" si="3"/>
        <v/>
      </c>
      <c r="R52" s="29"/>
      <c r="S52" s="29"/>
    </row>
    <row r="53" spans="1:19" ht="13.2">
      <c r="A53" s="514"/>
      <c r="B53" s="515"/>
      <c r="C53" s="508" t="s">
        <v>90</v>
      </c>
      <c r="D53" s="508"/>
      <c r="E53" s="508"/>
      <c r="F53" s="508"/>
      <c r="G53" s="508"/>
      <c r="H53" s="508"/>
      <c r="I53" s="43">
        <f>+E!B40</f>
        <v>0</v>
      </c>
      <c r="J53" s="311">
        <f t="shared" si="0"/>
        <v>0</v>
      </c>
      <c r="K53" s="43">
        <f>+E!B192</f>
        <v>0</v>
      </c>
      <c r="L53" s="311">
        <f t="shared" si="4"/>
        <v>0</v>
      </c>
      <c r="M53" s="43">
        <f>+E!B339</f>
        <v>0</v>
      </c>
      <c r="N53" s="315">
        <f t="shared" si="1"/>
        <v>0</v>
      </c>
      <c r="O53" s="230"/>
      <c r="P53" s="224">
        <f t="shared" si="2"/>
        <v>0</v>
      </c>
      <c r="Q53" s="315" t="str">
        <f t="shared" si="3"/>
        <v/>
      </c>
      <c r="R53" s="29"/>
      <c r="S53" s="29"/>
    </row>
    <row r="54" spans="1:19" ht="15.6">
      <c r="A54" s="516"/>
      <c r="B54" s="517"/>
      <c r="C54" s="505" t="s">
        <v>91</v>
      </c>
      <c r="D54" s="505"/>
      <c r="E54" s="505"/>
      <c r="F54" s="505"/>
      <c r="G54" s="505"/>
      <c r="H54" s="505"/>
      <c r="I54" s="297">
        <f>+I55+I56+I63+I71+I78+I85+I86</f>
        <v>1535544.72</v>
      </c>
      <c r="J54" s="307">
        <f t="shared" si="0"/>
        <v>0.55488554580354998</v>
      </c>
      <c r="K54" s="297">
        <f>+K55+K56+K63+K71+K78+K85+K86</f>
        <v>1177365.92</v>
      </c>
      <c r="L54" s="307">
        <f t="shared" si="4"/>
        <v>0.50153724080377859</v>
      </c>
      <c r="M54" s="297">
        <f>+M55+M56+M63+M71+M78+M85+M86</f>
        <v>938626.32000000007</v>
      </c>
      <c r="N54" s="314">
        <f t="shared" ref="N54:N85" si="7">+M54/$M$89</f>
        <v>0.4384883764620528</v>
      </c>
      <c r="O54" s="229"/>
      <c r="P54" s="298">
        <f t="shared" si="2"/>
        <v>358178.80000000005</v>
      </c>
      <c r="Q54" s="314">
        <f t="shared" si="3"/>
        <v>0.30422045849602991</v>
      </c>
      <c r="R54" s="29"/>
      <c r="S54" s="29"/>
    </row>
    <row r="55" spans="1:19" ht="13.2">
      <c r="A55" s="506" t="s">
        <v>92</v>
      </c>
      <c r="B55" s="507"/>
      <c r="C55" s="508" t="s">
        <v>93</v>
      </c>
      <c r="D55" s="508"/>
      <c r="E55" s="508"/>
      <c r="F55" s="508"/>
      <c r="G55" s="508"/>
      <c r="H55" s="508"/>
      <c r="I55" s="43">
        <f>+E!B41</f>
        <v>0</v>
      </c>
      <c r="J55" s="311">
        <f t="shared" si="0"/>
        <v>0</v>
      </c>
      <c r="K55" s="43">
        <f>+E!B193</f>
        <v>0</v>
      </c>
      <c r="L55" s="311">
        <f t="shared" si="4"/>
        <v>0</v>
      </c>
      <c r="M55" s="43">
        <f>+E!B340</f>
        <v>0</v>
      </c>
      <c r="N55" s="315">
        <f t="shared" si="7"/>
        <v>0</v>
      </c>
      <c r="O55" s="230"/>
      <c r="P55" s="224">
        <f t="shared" si="2"/>
        <v>0</v>
      </c>
      <c r="Q55" s="315" t="str">
        <f t="shared" si="3"/>
        <v/>
      </c>
      <c r="R55" s="29"/>
      <c r="S55" s="29"/>
    </row>
    <row r="56" spans="1:19" ht="13.2">
      <c r="A56" s="506"/>
      <c r="B56" s="507"/>
      <c r="C56" s="508" t="s">
        <v>94</v>
      </c>
      <c r="D56" s="508"/>
      <c r="E56" s="508"/>
      <c r="F56" s="508"/>
      <c r="G56" s="508"/>
      <c r="H56" s="508"/>
      <c r="I56" s="43">
        <f>SUM(I57:I62)</f>
        <v>181566.1</v>
      </c>
      <c r="J56" s="311">
        <f t="shared" si="0"/>
        <v>6.5610856646312415E-2</v>
      </c>
      <c r="K56" s="43">
        <f>SUM(K57:K62)</f>
        <v>257821.42</v>
      </c>
      <c r="L56" s="311">
        <f t="shared" si="4"/>
        <v>0.10982740489627231</v>
      </c>
      <c r="M56" s="43">
        <f>SUM(M57:M62)</f>
        <v>95900.849999999991</v>
      </c>
      <c r="N56" s="315">
        <f t="shared" si="7"/>
        <v>4.4801010926084885E-2</v>
      </c>
      <c r="O56" s="230"/>
      <c r="P56" s="224">
        <f t="shared" si="2"/>
        <v>-76255.320000000007</v>
      </c>
      <c r="Q56" s="315">
        <f t="shared" si="3"/>
        <v>-0.29576797769556928</v>
      </c>
      <c r="R56" s="29"/>
      <c r="S56" s="29"/>
    </row>
    <row r="57" spans="1:19" ht="13.2" outlineLevel="1">
      <c r="A57" s="506" t="s">
        <v>95</v>
      </c>
      <c r="B57" s="507"/>
      <c r="C57" s="509" t="s">
        <v>96</v>
      </c>
      <c r="D57" s="509"/>
      <c r="E57" s="509"/>
      <c r="F57" s="509"/>
      <c r="G57" s="509"/>
      <c r="H57" s="509"/>
      <c r="I57" s="41">
        <v>177457.65</v>
      </c>
      <c r="J57" s="309">
        <f t="shared" si="0"/>
        <v>6.4126224195714301E-2</v>
      </c>
      <c r="K57" s="41">
        <v>253712.97</v>
      </c>
      <c r="L57" s="309">
        <f t="shared" si="4"/>
        <v>0.10807727722400175</v>
      </c>
      <c r="M57" s="41">
        <v>91792.4</v>
      </c>
      <c r="N57" s="316">
        <f t="shared" si="7"/>
        <v>4.2881708716153759E-2</v>
      </c>
      <c r="O57" s="231"/>
      <c r="P57" s="223">
        <f t="shared" si="2"/>
        <v>-76255.320000000007</v>
      </c>
      <c r="Q57" s="316">
        <f t="shared" si="3"/>
        <v>-0.30055743701238452</v>
      </c>
      <c r="R57" s="29"/>
      <c r="S57" s="29"/>
    </row>
    <row r="58" spans="1:19" ht="13.2" outlineLevel="1">
      <c r="A58" s="506" t="s">
        <v>97</v>
      </c>
      <c r="B58" s="507"/>
      <c r="C58" s="509" t="s">
        <v>98</v>
      </c>
      <c r="D58" s="509"/>
      <c r="E58" s="509"/>
      <c r="F58" s="509"/>
      <c r="G58" s="509"/>
      <c r="H58" s="509"/>
      <c r="I58" s="41">
        <v>0</v>
      </c>
      <c r="J58" s="309">
        <f t="shared" si="0"/>
        <v>0</v>
      </c>
      <c r="K58" s="41">
        <v>0</v>
      </c>
      <c r="L58" s="309">
        <f t="shared" si="4"/>
        <v>0</v>
      </c>
      <c r="M58" s="41">
        <f>+E!B342</f>
        <v>0</v>
      </c>
      <c r="N58" s="316">
        <f t="shared" si="7"/>
        <v>0</v>
      </c>
      <c r="O58" s="231"/>
      <c r="P58" s="223">
        <f t="shared" si="2"/>
        <v>0</v>
      </c>
      <c r="Q58" s="316" t="str">
        <f t="shared" si="3"/>
        <v/>
      </c>
      <c r="R58" s="29"/>
      <c r="S58" s="29"/>
    </row>
    <row r="59" spans="1:19" ht="13.2" outlineLevel="1">
      <c r="A59" s="506" t="s">
        <v>99</v>
      </c>
      <c r="B59" s="507"/>
      <c r="C59" s="509" t="s">
        <v>100</v>
      </c>
      <c r="D59" s="509"/>
      <c r="E59" s="509"/>
      <c r="F59" s="509"/>
      <c r="G59" s="509"/>
      <c r="H59" s="509"/>
      <c r="I59" s="41">
        <v>0</v>
      </c>
      <c r="J59" s="309">
        <f t="shared" si="0"/>
        <v>0</v>
      </c>
      <c r="K59" s="41">
        <v>0</v>
      </c>
      <c r="L59" s="309">
        <f t="shared" si="4"/>
        <v>0</v>
      </c>
      <c r="M59" s="41">
        <f>+E!B343</f>
        <v>0</v>
      </c>
      <c r="N59" s="316">
        <f t="shared" si="7"/>
        <v>0</v>
      </c>
      <c r="O59" s="231"/>
      <c r="P59" s="223">
        <f t="shared" si="2"/>
        <v>0</v>
      </c>
      <c r="Q59" s="316" t="str">
        <f t="shared" si="3"/>
        <v/>
      </c>
      <c r="R59" s="29"/>
      <c r="S59" s="29"/>
    </row>
    <row r="60" spans="1:19" ht="13.2" outlineLevel="1">
      <c r="A60" s="506" t="s">
        <v>101</v>
      </c>
      <c r="B60" s="507"/>
      <c r="C60" s="509" t="s">
        <v>102</v>
      </c>
      <c r="D60" s="509"/>
      <c r="E60" s="509"/>
      <c r="F60" s="509"/>
      <c r="G60" s="509"/>
      <c r="H60" s="509"/>
      <c r="I60" s="41">
        <v>0</v>
      </c>
      <c r="J60" s="309">
        <f t="shared" si="0"/>
        <v>0</v>
      </c>
      <c r="K60" s="41">
        <v>0</v>
      </c>
      <c r="L60" s="309">
        <f t="shared" si="4"/>
        <v>0</v>
      </c>
      <c r="M60" s="41">
        <f>+E!B344</f>
        <v>0</v>
      </c>
      <c r="N60" s="316">
        <f t="shared" si="7"/>
        <v>0</v>
      </c>
      <c r="O60" s="231"/>
      <c r="P60" s="223">
        <f t="shared" si="2"/>
        <v>0</v>
      </c>
      <c r="Q60" s="316" t="str">
        <f t="shared" si="3"/>
        <v/>
      </c>
      <c r="R60" s="29"/>
      <c r="S60" s="29"/>
    </row>
    <row r="61" spans="1:19" ht="13.2" outlineLevel="1">
      <c r="A61" s="506" t="s">
        <v>103</v>
      </c>
      <c r="B61" s="507"/>
      <c r="C61" s="509" t="s">
        <v>104</v>
      </c>
      <c r="D61" s="509"/>
      <c r="E61" s="509"/>
      <c r="F61" s="509"/>
      <c r="G61" s="509"/>
      <c r="H61" s="509"/>
      <c r="I61" s="41">
        <f>+E!B46</f>
        <v>0</v>
      </c>
      <c r="J61" s="309">
        <f t="shared" si="0"/>
        <v>0</v>
      </c>
      <c r="K61" s="41">
        <f>+E!B198</f>
        <v>0</v>
      </c>
      <c r="L61" s="309">
        <f t="shared" si="4"/>
        <v>0</v>
      </c>
      <c r="M61" s="41">
        <f>+E!B345</f>
        <v>0</v>
      </c>
      <c r="N61" s="316">
        <f t="shared" si="7"/>
        <v>0</v>
      </c>
      <c r="O61" s="231"/>
      <c r="P61" s="223">
        <f t="shared" si="2"/>
        <v>0</v>
      </c>
      <c r="Q61" s="316" t="str">
        <f t="shared" si="3"/>
        <v/>
      </c>
      <c r="R61" s="29"/>
      <c r="S61" s="29"/>
    </row>
    <row r="62" spans="1:19" ht="13.2" outlineLevel="1">
      <c r="A62" s="506">
        <v>407</v>
      </c>
      <c r="B62" s="507"/>
      <c r="C62" s="509" t="s">
        <v>105</v>
      </c>
      <c r="D62" s="509"/>
      <c r="E62" s="509"/>
      <c r="F62" s="509"/>
      <c r="G62" s="509"/>
      <c r="H62" s="509"/>
      <c r="I62" s="41">
        <v>4108.45</v>
      </c>
      <c r="J62" s="309">
        <f t="shared" si="0"/>
        <v>1.484632450598114E-3</v>
      </c>
      <c r="K62" s="41">
        <v>4108.45</v>
      </c>
      <c r="L62" s="309">
        <f t="shared" si="4"/>
        <v>1.7501276722705582E-3</v>
      </c>
      <c r="M62" s="41">
        <v>4108.45</v>
      </c>
      <c r="N62" s="316">
        <f t="shared" si="7"/>
        <v>1.9193022099311262E-3</v>
      </c>
      <c r="O62" s="231"/>
      <c r="P62" s="223">
        <f t="shared" si="2"/>
        <v>0</v>
      </c>
      <c r="Q62" s="316">
        <f t="shared" si="3"/>
        <v>0</v>
      </c>
      <c r="R62" s="29"/>
      <c r="S62" s="29"/>
    </row>
    <row r="63" spans="1:19" ht="13.2">
      <c r="A63" s="506"/>
      <c r="B63" s="507"/>
      <c r="C63" s="508" t="s">
        <v>106</v>
      </c>
      <c r="D63" s="508"/>
      <c r="E63" s="508"/>
      <c r="F63" s="508"/>
      <c r="G63" s="508"/>
      <c r="H63" s="508"/>
      <c r="I63" s="43">
        <f>SUM(I64:I70)</f>
        <v>559522.4</v>
      </c>
      <c r="J63" s="311">
        <f t="shared" si="0"/>
        <v>0.20218941739014429</v>
      </c>
      <c r="K63" s="43">
        <f>SUM(K64:K70)</f>
        <v>378321.48</v>
      </c>
      <c r="L63" s="311">
        <f t="shared" si="4"/>
        <v>0.16115831789661611</v>
      </c>
      <c r="M63" s="43">
        <f>SUM(M64:M70)</f>
        <v>386853.94000000006</v>
      </c>
      <c r="N63" s="315">
        <f t="shared" si="7"/>
        <v>0.18072256494847533</v>
      </c>
      <c r="O63" s="230"/>
      <c r="P63" s="224">
        <f t="shared" si="2"/>
        <v>181200.92000000004</v>
      </c>
      <c r="Q63" s="315">
        <f t="shared" si="3"/>
        <v>0.47896016900758598</v>
      </c>
      <c r="R63" s="29"/>
      <c r="S63" s="29"/>
    </row>
    <row r="64" spans="1:19" ht="13.2" outlineLevel="1">
      <c r="A64" s="506" t="s">
        <v>107</v>
      </c>
      <c r="B64" s="507"/>
      <c r="C64" s="509" t="s">
        <v>108</v>
      </c>
      <c r="D64" s="509"/>
      <c r="E64" s="509"/>
      <c r="F64" s="509"/>
      <c r="G64" s="509"/>
      <c r="H64" s="509"/>
      <c r="I64" s="41">
        <v>513750.44</v>
      </c>
      <c r="J64" s="309">
        <f t="shared" si="0"/>
        <v>0.18564922896300537</v>
      </c>
      <c r="K64" s="41">
        <v>265403.17</v>
      </c>
      <c r="L64" s="309">
        <f t="shared" si="4"/>
        <v>0.11305709747601339</v>
      </c>
      <c r="M64" s="41">
        <v>235840.54</v>
      </c>
      <c r="N64" s="316">
        <f t="shared" si="7"/>
        <v>0.11017519249676891</v>
      </c>
      <c r="O64" s="231"/>
      <c r="P64" s="223">
        <f t="shared" si="2"/>
        <v>248347.27000000002</v>
      </c>
      <c r="Q64" s="316">
        <f t="shared" si="3"/>
        <v>0.93573588439052946</v>
      </c>
      <c r="R64" s="29"/>
      <c r="S64" s="29"/>
    </row>
    <row r="65" spans="1:19" ht="13.2" outlineLevel="1">
      <c r="A65" s="506" t="s">
        <v>109</v>
      </c>
      <c r="B65" s="507"/>
      <c r="C65" s="509" t="s">
        <v>110</v>
      </c>
      <c r="D65" s="509"/>
      <c r="E65" s="509"/>
      <c r="F65" s="509"/>
      <c r="G65" s="509"/>
      <c r="H65" s="509"/>
      <c r="I65" s="41">
        <v>27757.25</v>
      </c>
      <c r="J65" s="309">
        <f t="shared" si="0"/>
        <v>1.0030379848693425E-2</v>
      </c>
      <c r="K65" s="41">
        <v>0</v>
      </c>
      <c r="L65" s="309">
        <f t="shared" si="4"/>
        <v>0</v>
      </c>
      <c r="M65" s="41">
        <v>4065.32</v>
      </c>
      <c r="N65" s="316">
        <f t="shared" si="7"/>
        <v>1.8991536126951058E-3</v>
      </c>
      <c r="O65" s="231"/>
      <c r="P65" s="223">
        <f t="shared" si="2"/>
        <v>27757.25</v>
      </c>
      <c r="Q65" s="316" t="str">
        <f t="shared" si="3"/>
        <v/>
      </c>
      <c r="R65" s="29"/>
      <c r="S65" s="29"/>
    </row>
    <row r="66" spans="1:19" ht="13.2" outlineLevel="1">
      <c r="A66" s="506" t="s">
        <v>111</v>
      </c>
      <c r="B66" s="507"/>
      <c r="C66" s="509" t="s">
        <v>112</v>
      </c>
      <c r="D66" s="509"/>
      <c r="E66" s="509"/>
      <c r="F66" s="509"/>
      <c r="G66" s="509"/>
      <c r="H66" s="509"/>
      <c r="I66" s="41">
        <v>0</v>
      </c>
      <c r="J66" s="309">
        <f t="shared" si="0"/>
        <v>0</v>
      </c>
      <c r="K66" s="41">
        <v>67353.17</v>
      </c>
      <c r="L66" s="309">
        <f t="shared" si="4"/>
        <v>2.8691269610715279E-2</v>
      </c>
      <c r="M66" s="41">
        <v>95295.49</v>
      </c>
      <c r="N66" s="316">
        <f t="shared" si="7"/>
        <v>4.4518211138864915E-2</v>
      </c>
      <c r="O66" s="231"/>
      <c r="P66" s="223">
        <f t="shared" si="2"/>
        <v>-67353.17</v>
      </c>
      <c r="Q66" s="316">
        <f t="shared" si="3"/>
        <v>-1</v>
      </c>
      <c r="R66" s="29"/>
      <c r="S66" s="29"/>
    </row>
    <row r="67" spans="1:19" ht="13.2" outlineLevel="1">
      <c r="A67" s="506" t="s">
        <v>113</v>
      </c>
      <c r="B67" s="507"/>
      <c r="C67" s="510" t="s">
        <v>114</v>
      </c>
      <c r="D67" s="510"/>
      <c r="E67" s="510"/>
      <c r="F67" s="510"/>
      <c r="G67" s="510"/>
      <c r="H67" s="510"/>
      <c r="I67" s="41">
        <f>+E!B52</f>
        <v>0</v>
      </c>
      <c r="J67" s="310">
        <f t="shared" si="0"/>
        <v>0</v>
      </c>
      <c r="K67" s="41">
        <v>0</v>
      </c>
      <c r="L67" s="309">
        <f t="shared" si="4"/>
        <v>0</v>
      </c>
      <c r="M67" s="41">
        <f>+E!B350</f>
        <v>0</v>
      </c>
      <c r="N67" s="316">
        <f t="shared" si="7"/>
        <v>0</v>
      </c>
      <c r="O67" s="231"/>
      <c r="P67" s="223">
        <f t="shared" si="2"/>
        <v>0</v>
      </c>
      <c r="Q67" s="316" t="str">
        <f t="shared" si="3"/>
        <v/>
      </c>
      <c r="R67" s="29"/>
      <c r="S67" s="29"/>
    </row>
    <row r="68" spans="1:19" ht="13.2" outlineLevel="1">
      <c r="A68" s="506">
        <v>4709</v>
      </c>
      <c r="B68" s="507"/>
      <c r="C68" s="509" t="s">
        <v>115</v>
      </c>
      <c r="D68" s="509"/>
      <c r="E68" s="509"/>
      <c r="F68" s="509"/>
      <c r="G68" s="509"/>
      <c r="H68" s="509"/>
      <c r="I68" s="41">
        <v>17436.11</v>
      </c>
      <c r="J68" s="309">
        <f t="shared" si="0"/>
        <v>6.3007252657810812E-3</v>
      </c>
      <c r="K68" s="41">
        <v>12308.08</v>
      </c>
      <c r="L68" s="309">
        <f t="shared" si="4"/>
        <v>5.2430262995825216E-3</v>
      </c>
      <c r="M68" s="41">
        <v>51652.59</v>
      </c>
      <c r="N68" s="316">
        <f t="shared" si="7"/>
        <v>2.413000770014638E-2</v>
      </c>
      <c r="O68" s="231"/>
      <c r="P68" s="223">
        <f t="shared" si="2"/>
        <v>5128.0300000000007</v>
      </c>
      <c r="Q68" s="316">
        <f t="shared" si="3"/>
        <v>0.41663931336162918</v>
      </c>
      <c r="R68" s="29"/>
      <c r="S68" s="29"/>
    </row>
    <row r="69" spans="1:19" ht="13.2" outlineLevel="1">
      <c r="A69" s="506" t="s">
        <v>116</v>
      </c>
      <c r="B69" s="507"/>
      <c r="C69" s="509" t="s">
        <v>117</v>
      </c>
      <c r="D69" s="509"/>
      <c r="E69" s="509"/>
      <c r="F69" s="509"/>
      <c r="G69" s="509"/>
      <c r="H69" s="509"/>
      <c r="I69" s="41">
        <v>0.05</v>
      </c>
      <c r="J69" s="309">
        <f t="shared" si="0"/>
        <v>1.8068036006256789E-8</v>
      </c>
      <c r="K69" s="41">
        <v>33013.75</v>
      </c>
      <c r="L69" s="309">
        <f t="shared" si="4"/>
        <v>1.406327871592015E-2</v>
      </c>
      <c r="M69" s="41">
        <f>+E!B352</f>
        <v>0</v>
      </c>
      <c r="N69" s="316">
        <f t="shared" si="7"/>
        <v>0</v>
      </c>
      <c r="O69" s="231"/>
      <c r="P69" s="223">
        <f t="shared" si="2"/>
        <v>-33013.699999999997</v>
      </c>
      <c r="Q69" s="316">
        <f t="shared" si="3"/>
        <v>-0.99999848547953496</v>
      </c>
      <c r="R69" s="29"/>
      <c r="S69" s="29"/>
    </row>
    <row r="70" spans="1:19" ht="13.2" outlineLevel="1">
      <c r="A70" s="506">
        <v>5580</v>
      </c>
      <c r="B70" s="507"/>
      <c r="C70" s="509" t="s">
        <v>118</v>
      </c>
      <c r="D70" s="509"/>
      <c r="E70" s="509"/>
      <c r="F70" s="509"/>
      <c r="G70" s="509"/>
      <c r="H70" s="509"/>
      <c r="I70" s="41">
        <v>578.54999999999995</v>
      </c>
      <c r="J70" s="309">
        <f t="shared" si="0"/>
        <v>2.090652446283973E-4</v>
      </c>
      <c r="K70" s="41">
        <v>243.31</v>
      </c>
      <c r="L70" s="309">
        <f t="shared" si="4"/>
        <v>1.0364579438478003E-4</v>
      </c>
      <c r="M70" s="41">
        <f>+E!B353</f>
        <v>0</v>
      </c>
      <c r="N70" s="316">
        <f t="shared" si="7"/>
        <v>0</v>
      </c>
      <c r="O70" s="231"/>
      <c r="P70" s="223">
        <f t="shared" si="2"/>
        <v>335.23999999999995</v>
      </c>
      <c r="Q70" s="316">
        <f t="shared" si="3"/>
        <v>1.3778307508939212</v>
      </c>
      <c r="R70" s="29"/>
      <c r="S70" s="29"/>
    </row>
    <row r="71" spans="1:19" ht="13.2">
      <c r="A71" s="506"/>
      <c r="B71" s="507"/>
      <c r="C71" s="518" t="s">
        <v>119</v>
      </c>
      <c r="D71" s="518"/>
      <c r="E71" s="518"/>
      <c r="F71" s="518"/>
      <c r="G71" s="518"/>
      <c r="H71" s="518"/>
      <c r="I71" s="43">
        <f>SUM(I72:I77)</f>
        <v>0</v>
      </c>
      <c r="J71" s="311">
        <f t="shared" si="0"/>
        <v>0</v>
      </c>
      <c r="K71" s="43">
        <f>SUM(K72:K77)</f>
        <v>0</v>
      </c>
      <c r="L71" s="311">
        <f t="shared" si="4"/>
        <v>0</v>
      </c>
      <c r="M71" s="43">
        <f>SUM(M72:M77)</f>
        <v>0</v>
      </c>
      <c r="N71" s="315">
        <f t="shared" si="7"/>
        <v>0</v>
      </c>
      <c r="O71" s="230"/>
      <c r="P71" s="224">
        <f t="shared" si="2"/>
        <v>0</v>
      </c>
      <c r="Q71" s="315" t="str">
        <f t="shared" si="3"/>
        <v/>
      </c>
      <c r="R71" s="29"/>
      <c r="S71" s="29"/>
    </row>
    <row r="72" spans="1:19" ht="13.2" outlineLevel="1">
      <c r="A72" s="506" t="s">
        <v>120</v>
      </c>
      <c r="B72" s="507"/>
      <c r="C72" s="509" t="s">
        <v>75</v>
      </c>
      <c r="D72" s="509"/>
      <c r="E72" s="509"/>
      <c r="F72" s="509"/>
      <c r="G72" s="509"/>
      <c r="H72" s="509"/>
      <c r="I72" s="41">
        <f>+E!B55</f>
        <v>0</v>
      </c>
      <c r="J72" s="309">
        <f t="shared" si="0"/>
        <v>0</v>
      </c>
      <c r="K72" s="41">
        <f>+E!B207</f>
        <v>0</v>
      </c>
      <c r="L72" s="309">
        <f t="shared" si="4"/>
        <v>0</v>
      </c>
      <c r="M72" s="41">
        <f>+E!B354</f>
        <v>0</v>
      </c>
      <c r="N72" s="316">
        <f t="shared" si="7"/>
        <v>0</v>
      </c>
      <c r="O72" s="231"/>
      <c r="P72" s="223">
        <f t="shared" si="2"/>
        <v>0</v>
      </c>
      <c r="Q72" s="316" t="str">
        <f t="shared" si="3"/>
        <v/>
      </c>
      <c r="R72" s="29"/>
      <c r="S72" s="29"/>
    </row>
    <row r="73" spans="1:19" ht="13.2" outlineLevel="1">
      <c r="A73" s="506" t="s">
        <v>121</v>
      </c>
      <c r="B73" s="507"/>
      <c r="C73" s="509" t="s">
        <v>77</v>
      </c>
      <c r="D73" s="509"/>
      <c r="E73" s="509"/>
      <c r="F73" s="509"/>
      <c r="G73" s="509"/>
      <c r="H73" s="509"/>
      <c r="I73" s="41">
        <f>+E!B56</f>
        <v>0</v>
      </c>
      <c r="J73" s="309">
        <f t="shared" si="0"/>
        <v>0</v>
      </c>
      <c r="K73" s="41">
        <f>+E!B208</f>
        <v>0</v>
      </c>
      <c r="L73" s="309">
        <f t="shared" si="4"/>
        <v>0</v>
      </c>
      <c r="M73" s="41">
        <f>+E!B355</f>
        <v>0</v>
      </c>
      <c r="N73" s="316">
        <f t="shared" si="7"/>
        <v>0</v>
      </c>
      <c r="O73" s="231"/>
      <c r="P73" s="223">
        <f t="shared" si="2"/>
        <v>0</v>
      </c>
      <c r="Q73" s="316" t="str">
        <f t="shared" si="3"/>
        <v/>
      </c>
      <c r="R73" s="29"/>
      <c r="S73" s="29"/>
    </row>
    <row r="74" spans="1:19" ht="13.2" outlineLevel="1">
      <c r="A74" s="506" t="s">
        <v>122</v>
      </c>
      <c r="B74" s="507"/>
      <c r="C74" s="509" t="s">
        <v>79</v>
      </c>
      <c r="D74" s="509"/>
      <c r="E74" s="509"/>
      <c r="F74" s="509"/>
      <c r="G74" s="509"/>
      <c r="H74" s="509"/>
      <c r="I74" s="41">
        <f>+E!B57</f>
        <v>0</v>
      </c>
      <c r="J74" s="309">
        <f t="shared" si="0"/>
        <v>0</v>
      </c>
      <c r="K74" s="41">
        <f>+E!B209</f>
        <v>0</v>
      </c>
      <c r="L74" s="309">
        <f t="shared" si="4"/>
        <v>0</v>
      </c>
      <c r="M74" s="41">
        <f>+E!B356</f>
        <v>0</v>
      </c>
      <c r="N74" s="316">
        <f t="shared" si="7"/>
        <v>0</v>
      </c>
      <c r="O74" s="231"/>
      <c r="P74" s="223">
        <f t="shared" si="2"/>
        <v>0</v>
      </c>
      <c r="Q74" s="316" t="str">
        <f t="shared" si="3"/>
        <v/>
      </c>
      <c r="R74" s="29"/>
      <c r="S74" s="29"/>
    </row>
    <row r="75" spans="1:19" ht="13.2" outlineLevel="1">
      <c r="A75" s="506"/>
      <c r="B75" s="507"/>
      <c r="C75" s="509" t="s">
        <v>80</v>
      </c>
      <c r="D75" s="509"/>
      <c r="E75" s="509"/>
      <c r="F75" s="509"/>
      <c r="G75" s="509"/>
      <c r="H75" s="509"/>
      <c r="I75" s="41">
        <f>+E!B58</f>
        <v>0</v>
      </c>
      <c r="J75" s="309">
        <f t="shared" si="0"/>
        <v>0</v>
      </c>
      <c r="K75" s="41">
        <f>+E!B210</f>
        <v>0</v>
      </c>
      <c r="L75" s="309">
        <f t="shared" si="4"/>
        <v>0</v>
      </c>
      <c r="M75" s="41">
        <f>+E!B357</f>
        <v>0</v>
      </c>
      <c r="N75" s="316">
        <f t="shared" si="7"/>
        <v>0</v>
      </c>
      <c r="O75" s="231"/>
      <c r="P75" s="223">
        <f t="shared" si="2"/>
        <v>0</v>
      </c>
      <c r="Q75" s="316" t="str">
        <f t="shared" si="3"/>
        <v/>
      </c>
      <c r="R75" s="29"/>
      <c r="S75" s="29"/>
    </row>
    <row r="76" spans="1:19" ht="13.2" outlineLevel="1">
      <c r="A76" s="506" t="s">
        <v>123</v>
      </c>
      <c r="B76" s="507"/>
      <c r="C76" s="509" t="s">
        <v>124</v>
      </c>
      <c r="D76" s="509"/>
      <c r="E76" s="509"/>
      <c r="F76" s="509"/>
      <c r="G76" s="509"/>
      <c r="H76" s="509"/>
      <c r="I76" s="41">
        <f>+E!B61</f>
        <v>0</v>
      </c>
      <c r="J76" s="309">
        <f t="shared" si="0"/>
        <v>0</v>
      </c>
      <c r="K76" s="41">
        <v>0</v>
      </c>
      <c r="L76" s="309">
        <f t="shared" si="4"/>
        <v>0</v>
      </c>
      <c r="M76" s="41">
        <f>+E!B358</f>
        <v>0</v>
      </c>
      <c r="N76" s="316">
        <f t="shared" si="7"/>
        <v>0</v>
      </c>
      <c r="O76" s="231"/>
      <c r="P76" s="223">
        <f t="shared" si="2"/>
        <v>0</v>
      </c>
      <c r="Q76" s="316" t="str">
        <f t="shared" si="3"/>
        <v/>
      </c>
      <c r="R76" s="29"/>
      <c r="S76" s="29"/>
    </row>
    <row r="77" spans="1:19" ht="13.2" outlineLevel="1">
      <c r="A77" s="514"/>
      <c r="B77" s="515"/>
      <c r="C77" s="509" t="s">
        <v>82</v>
      </c>
      <c r="D77" s="509"/>
      <c r="E77" s="509"/>
      <c r="F77" s="509"/>
      <c r="G77" s="509"/>
      <c r="H77" s="509"/>
      <c r="I77" s="41">
        <f>+E!B60</f>
        <v>0</v>
      </c>
      <c r="J77" s="309">
        <f t="shared" si="0"/>
        <v>0</v>
      </c>
      <c r="K77" s="41">
        <f>+E!B212</f>
        <v>0</v>
      </c>
      <c r="L77" s="309">
        <f t="shared" si="4"/>
        <v>0</v>
      </c>
      <c r="M77" s="41">
        <f>+E!B359</f>
        <v>0</v>
      </c>
      <c r="N77" s="316">
        <f t="shared" si="7"/>
        <v>0</v>
      </c>
      <c r="O77" s="231"/>
      <c r="P77" s="223">
        <f t="shared" si="2"/>
        <v>0</v>
      </c>
      <c r="Q77" s="316" t="str">
        <f t="shared" si="3"/>
        <v/>
      </c>
      <c r="R77" s="29"/>
      <c r="S77" s="29"/>
    </row>
    <row r="78" spans="1:19" ht="13.2">
      <c r="A78" s="506"/>
      <c r="B78" s="507"/>
      <c r="C78" s="508" t="s">
        <v>935</v>
      </c>
      <c r="D78" s="508"/>
      <c r="E78" s="508"/>
      <c r="F78" s="508"/>
      <c r="G78" s="508"/>
      <c r="H78" s="508"/>
      <c r="I78" s="43">
        <f>SUM(I79:I84)</f>
        <v>20685.95</v>
      </c>
      <c r="J78" s="311">
        <f t="shared" si="0"/>
        <v>7.4750897884725527E-3</v>
      </c>
      <c r="K78" s="43">
        <f>SUM(K79:K84)</f>
        <v>27792.68</v>
      </c>
      <c r="L78" s="311">
        <f t="shared" si="4"/>
        <v>1.1839194429665811E-2</v>
      </c>
      <c r="M78" s="43">
        <f>SUM(M79:M84)</f>
        <v>26623.22</v>
      </c>
      <c r="N78" s="315">
        <f t="shared" si="7"/>
        <v>1.2437295082447775E-2</v>
      </c>
      <c r="O78" s="230"/>
      <c r="P78" s="224">
        <f t="shared" si="2"/>
        <v>-7106.73</v>
      </c>
      <c r="Q78" s="315">
        <f t="shared" si="3"/>
        <v>-0.25570509932831231</v>
      </c>
      <c r="R78" s="29"/>
      <c r="S78" s="29"/>
    </row>
    <row r="79" spans="1:19" ht="13.2" outlineLevel="1">
      <c r="A79" s="506" t="s">
        <v>125</v>
      </c>
      <c r="B79" s="507"/>
      <c r="C79" s="509" t="s">
        <v>75</v>
      </c>
      <c r="D79" s="509"/>
      <c r="E79" s="509"/>
      <c r="F79" s="509"/>
      <c r="G79" s="509"/>
      <c r="H79" s="509"/>
      <c r="I79" s="41">
        <f>+E!B61</f>
        <v>0</v>
      </c>
      <c r="J79" s="309">
        <f t="shared" si="0"/>
        <v>0</v>
      </c>
      <c r="K79" s="41">
        <f>+E!B213</f>
        <v>0</v>
      </c>
      <c r="L79" s="309">
        <f t="shared" si="4"/>
        <v>0</v>
      </c>
      <c r="M79" s="41">
        <f>+E!B360</f>
        <v>0</v>
      </c>
      <c r="N79" s="316">
        <f t="shared" si="7"/>
        <v>0</v>
      </c>
      <c r="O79" s="231"/>
      <c r="P79" s="223">
        <f t="shared" si="2"/>
        <v>0</v>
      </c>
      <c r="Q79" s="316" t="str">
        <f t="shared" si="3"/>
        <v/>
      </c>
      <c r="R79" s="29"/>
      <c r="S79" s="29"/>
    </row>
    <row r="80" spans="1:19" ht="13.2" outlineLevel="1">
      <c r="A80" s="506" t="s">
        <v>126</v>
      </c>
      <c r="B80" s="507"/>
      <c r="C80" s="509" t="s">
        <v>77</v>
      </c>
      <c r="D80" s="509"/>
      <c r="E80" s="509"/>
      <c r="F80" s="509"/>
      <c r="G80" s="509"/>
      <c r="H80" s="509"/>
      <c r="I80" s="41">
        <f>+E!B62</f>
        <v>0</v>
      </c>
      <c r="J80" s="309">
        <f t="shared" si="0"/>
        <v>0</v>
      </c>
      <c r="K80" s="41">
        <v>1027.45</v>
      </c>
      <c r="L80" s="309">
        <f t="shared" si="4"/>
        <v>4.3767568715072234E-4</v>
      </c>
      <c r="M80" s="41">
        <f>+E!B361</f>
        <v>0</v>
      </c>
      <c r="N80" s="316">
        <f t="shared" si="7"/>
        <v>0</v>
      </c>
      <c r="O80" s="231"/>
      <c r="P80" s="223">
        <f t="shared" si="2"/>
        <v>-1027.45</v>
      </c>
      <c r="Q80" s="316">
        <f t="shared" si="3"/>
        <v>-1</v>
      </c>
      <c r="R80" s="29"/>
      <c r="S80" s="29"/>
    </row>
    <row r="81" spans="1:19" ht="13.2" outlineLevel="1">
      <c r="A81" s="506" t="s">
        <v>127</v>
      </c>
      <c r="B81" s="507"/>
      <c r="C81" s="509" t="s">
        <v>79</v>
      </c>
      <c r="D81" s="509"/>
      <c r="E81" s="509"/>
      <c r="F81" s="509"/>
      <c r="G81" s="509"/>
      <c r="H81" s="509"/>
      <c r="I81" s="41">
        <f>+E!B63</f>
        <v>0</v>
      </c>
      <c r="J81" s="309">
        <f t="shared" si="0"/>
        <v>0</v>
      </c>
      <c r="K81" s="41">
        <f>+E!B215</f>
        <v>0</v>
      </c>
      <c r="L81" s="309">
        <f t="shared" si="4"/>
        <v>0</v>
      </c>
      <c r="M81" s="41">
        <f>+E!B362</f>
        <v>0</v>
      </c>
      <c r="N81" s="316">
        <f t="shared" si="7"/>
        <v>0</v>
      </c>
      <c r="O81" s="231"/>
      <c r="P81" s="223">
        <f t="shared" si="2"/>
        <v>0</v>
      </c>
      <c r="Q81" s="316" t="str">
        <f t="shared" si="3"/>
        <v/>
      </c>
      <c r="R81" s="29"/>
      <c r="S81" s="29"/>
    </row>
    <row r="82" spans="1:19" ht="13.2" outlineLevel="1">
      <c r="A82" s="506" t="s">
        <v>128</v>
      </c>
      <c r="B82" s="507"/>
      <c r="C82" s="509" t="s">
        <v>80</v>
      </c>
      <c r="D82" s="509"/>
      <c r="E82" s="509"/>
      <c r="F82" s="509"/>
      <c r="G82" s="509"/>
      <c r="H82" s="509"/>
      <c r="I82" s="41">
        <f>+E!B64</f>
        <v>0</v>
      </c>
      <c r="J82" s="309">
        <f t="shared" si="0"/>
        <v>0</v>
      </c>
      <c r="K82" s="41">
        <f>+E!B216</f>
        <v>0</v>
      </c>
      <c r="L82" s="309">
        <f t="shared" si="4"/>
        <v>0</v>
      </c>
      <c r="M82" s="41">
        <f>+E!B363</f>
        <v>0</v>
      </c>
      <c r="N82" s="316">
        <f t="shared" si="7"/>
        <v>0</v>
      </c>
      <c r="O82" s="231"/>
      <c r="P82" s="223">
        <f t="shared" si="2"/>
        <v>0</v>
      </c>
      <c r="Q82" s="316" t="str">
        <f t="shared" si="3"/>
        <v/>
      </c>
      <c r="R82" s="29"/>
      <c r="S82" s="29"/>
    </row>
    <row r="83" spans="1:19" ht="13.2" outlineLevel="1">
      <c r="A83" s="506" t="s">
        <v>129</v>
      </c>
      <c r="B83" s="507"/>
      <c r="C83" s="510" t="s">
        <v>124</v>
      </c>
      <c r="D83" s="510"/>
      <c r="E83" s="510"/>
      <c r="F83" s="510"/>
      <c r="G83" s="510"/>
      <c r="H83" s="510"/>
      <c r="I83" s="41">
        <v>20685.95</v>
      </c>
      <c r="J83" s="310">
        <f t="shared" si="0"/>
        <v>7.4750897884725527E-3</v>
      </c>
      <c r="K83" s="41">
        <v>26765.23</v>
      </c>
      <c r="L83" s="309">
        <f t="shared" si="4"/>
        <v>1.1401518742515087E-2</v>
      </c>
      <c r="M83" s="41">
        <v>26623.22</v>
      </c>
      <c r="N83" s="316">
        <f t="shared" si="7"/>
        <v>1.2437295082447775E-2</v>
      </c>
      <c r="O83" s="231"/>
      <c r="P83" s="223">
        <f t="shared" si="2"/>
        <v>-6079.2799999999988</v>
      </c>
      <c r="Q83" s="316">
        <f t="shared" si="3"/>
        <v>-0.22713348624315946</v>
      </c>
      <c r="R83" s="29"/>
      <c r="S83" s="29"/>
    </row>
    <row r="84" spans="1:19" ht="13.2" outlineLevel="1">
      <c r="A84" s="514"/>
      <c r="B84" s="515"/>
      <c r="C84" s="509" t="s">
        <v>82</v>
      </c>
      <c r="D84" s="509"/>
      <c r="E84" s="509"/>
      <c r="F84" s="509"/>
      <c r="G84" s="509"/>
      <c r="H84" s="509"/>
      <c r="I84" s="41">
        <f>+E!B66</f>
        <v>0</v>
      </c>
      <c r="J84" s="309">
        <f t="shared" si="0"/>
        <v>0</v>
      </c>
      <c r="K84" s="41">
        <f>+E!B218</f>
        <v>0</v>
      </c>
      <c r="L84" s="309">
        <f t="shared" si="4"/>
        <v>0</v>
      </c>
      <c r="M84" s="41">
        <f>+E!B365</f>
        <v>0</v>
      </c>
      <c r="N84" s="316">
        <f t="shared" si="7"/>
        <v>0</v>
      </c>
      <c r="O84" s="231"/>
      <c r="P84" s="223">
        <f t="shared" si="2"/>
        <v>0</v>
      </c>
      <c r="Q84" s="316" t="str">
        <f t="shared" si="3"/>
        <v/>
      </c>
      <c r="R84" s="29"/>
      <c r="S84" s="29"/>
    </row>
    <row r="85" spans="1:19" ht="13.2">
      <c r="A85" s="506" t="s">
        <v>130</v>
      </c>
      <c r="B85" s="507"/>
      <c r="C85" s="508" t="s">
        <v>131</v>
      </c>
      <c r="D85" s="508"/>
      <c r="E85" s="508"/>
      <c r="F85" s="508"/>
      <c r="G85" s="508"/>
      <c r="H85" s="508"/>
      <c r="I85" s="43">
        <v>260584.64</v>
      </c>
      <c r="J85" s="311">
        <f t="shared" si="0"/>
        <v>9.4165053163949269E-2</v>
      </c>
      <c r="K85" s="43">
        <v>1343.47</v>
      </c>
      <c r="L85" s="311">
        <f t="shared" si="4"/>
        <v>5.7229466681238102E-4</v>
      </c>
      <c r="M85" s="43">
        <f>+E!B366</f>
        <v>0</v>
      </c>
      <c r="N85" s="315">
        <f t="shared" si="7"/>
        <v>0</v>
      </c>
      <c r="O85" s="230"/>
      <c r="P85" s="224">
        <f t="shared" si="2"/>
        <v>259241.17</v>
      </c>
      <c r="Q85" s="315">
        <f t="shared" si="3"/>
        <v>192.96386968075208</v>
      </c>
      <c r="R85" s="29"/>
      <c r="S85" s="29"/>
    </row>
    <row r="86" spans="1:19" ht="13.2">
      <c r="A86" s="506"/>
      <c r="B86" s="507"/>
      <c r="C86" s="508" t="s">
        <v>132</v>
      </c>
      <c r="D86" s="508"/>
      <c r="E86" s="508"/>
      <c r="F86" s="508"/>
      <c r="G86" s="508"/>
      <c r="H86" s="508"/>
      <c r="I86" s="43">
        <f>SUM(I87:I88)</f>
        <v>513185.63</v>
      </c>
      <c r="J86" s="311">
        <f>+I86/$I$89</f>
        <v>0.18544512881467148</v>
      </c>
      <c r="K86" s="43">
        <f>SUM(K87:K88)</f>
        <v>512086.87</v>
      </c>
      <c r="L86" s="311">
        <f t="shared" si="4"/>
        <v>0.21814002891441198</v>
      </c>
      <c r="M86" s="43">
        <f>SUM(M87:M88)</f>
        <v>429248.31</v>
      </c>
      <c r="N86" s="315">
        <f>+M86/$M$89</f>
        <v>0.20052750550504478</v>
      </c>
      <c r="O86" s="230"/>
      <c r="P86" s="224">
        <f>+I86-K86</f>
        <v>1098.7600000000093</v>
      </c>
      <c r="Q86" s="315">
        <f>IF(ISERROR(+(I86-K86)/K86)=TRUE,"",(I86-K86)/K86)</f>
        <v>2.1456515766553621E-3</v>
      </c>
      <c r="R86" s="29"/>
      <c r="S86" s="29"/>
    </row>
    <row r="87" spans="1:19" ht="13.2" outlineLevel="1">
      <c r="A87" s="506" t="s">
        <v>133</v>
      </c>
      <c r="B87" s="507"/>
      <c r="C87" s="509" t="s">
        <v>134</v>
      </c>
      <c r="D87" s="509"/>
      <c r="E87" s="509"/>
      <c r="F87" s="509"/>
      <c r="G87" s="509"/>
      <c r="H87" s="509"/>
      <c r="I87" s="41">
        <v>513185.63</v>
      </c>
      <c r="J87" s="309">
        <f>+I87/$I$89</f>
        <v>0.18544512881467148</v>
      </c>
      <c r="K87" s="41">
        <v>512086.87</v>
      </c>
      <c r="L87" s="309">
        <f>+K87/$K$89</f>
        <v>0.21814002891441198</v>
      </c>
      <c r="M87" s="41">
        <v>429248.31</v>
      </c>
      <c r="N87" s="316">
        <f>+M87/$M$89</f>
        <v>0.20052750550504478</v>
      </c>
      <c r="O87" s="231"/>
      <c r="P87" s="223">
        <f>+I87-K87</f>
        <v>1098.7600000000093</v>
      </c>
      <c r="Q87" s="316">
        <f>IF(ISERROR(+(I87-K87)/K87)=TRUE,"",(I87-K87)/K87)</f>
        <v>2.1456515766553621E-3</v>
      </c>
      <c r="R87" s="29"/>
      <c r="S87" s="29"/>
    </row>
    <row r="88" spans="1:19" ht="13.8" outlineLevel="1" thickBot="1">
      <c r="A88" s="506">
        <v>576</v>
      </c>
      <c r="B88" s="507"/>
      <c r="C88" s="509" t="s">
        <v>135</v>
      </c>
      <c r="D88" s="509"/>
      <c r="E88" s="509"/>
      <c r="F88" s="509"/>
      <c r="G88" s="509"/>
      <c r="H88" s="509"/>
      <c r="I88" s="41">
        <f>+E!B69</f>
        <v>0</v>
      </c>
      <c r="J88" s="309">
        <f>+I88/$I$89</f>
        <v>0</v>
      </c>
      <c r="K88" s="41">
        <f>+E!B221</f>
        <v>0</v>
      </c>
      <c r="L88" s="309">
        <f>+K88/$K$89</f>
        <v>0</v>
      </c>
      <c r="M88" s="41">
        <f>+E!B368</f>
        <v>0</v>
      </c>
      <c r="N88" s="316">
        <f>+M88/$M$89</f>
        <v>0</v>
      </c>
      <c r="O88" s="231"/>
      <c r="P88" s="223">
        <f>+I88-K88</f>
        <v>0</v>
      </c>
      <c r="Q88" s="316" t="str">
        <f>IF(ISERROR(+(I88-K88)/K88)=TRUE,"",(I88-K88)/K88)</f>
        <v/>
      </c>
      <c r="R88" s="29"/>
      <c r="S88" s="29"/>
    </row>
    <row r="89" spans="1:19" ht="18" thickBot="1">
      <c r="A89" s="519" t="s">
        <v>136</v>
      </c>
      <c r="B89" s="520"/>
      <c r="C89" s="520"/>
      <c r="D89" s="520"/>
      <c r="E89" s="520"/>
      <c r="F89" s="520"/>
      <c r="G89" s="520"/>
      <c r="H89" s="520"/>
      <c r="I89" s="44">
        <f>+I20+I54</f>
        <v>2767317.9299999997</v>
      </c>
      <c r="J89" s="312">
        <f>+I89/$I$89</f>
        <v>1</v>
      </c>
      <c r="K89" s="44">
        <f>+K20+K54</f>
        <v>2347514.4500000002</v>
      </c>
      <c r="L89" s="312">
        <f>+K89/$K$89</f>
        <v>1</v>
      </c>
      <c r="M89" s="44">
        <f>+M20+M54</f>
        <v>2140595.67</v>
      </c>
      <c r="N89" s="319">
        <f>+M89/$M$89</f>
        <v>1</v>
      </c>
      <c r="O89" s="229"/>
      <c r="P89" s="227">
        <f>+I89-K89</f>
        <v>419803.47999999952</v>
      </c>
      <c r="Q89" s="319">
        <f>IF(ISERROR(+(I89-K89)/K89)=TRUE,"",(I89-K89)/K89)</f>
        <v>0.17882892265050784</v>
      </c>
      <c r="R89" s="29"/>
      <c r="S89" s="29"/>
    </row>
    <row r="90" spans="1:19" ht="13.8" thickBot="1">
      <c r="A90" s="13"/>
      <c r="B90" s="13"/>
      <c r="C90" s="143"/>
      <c r="D90" s="143"/>
      <c r="E90" s="45"/>
      <c r="F90" s="45"/>
      <c r="G90" s="45"/>
      <c r="H90" s="143"/>
      <c r="I90" s="46"/>
      <c r="J90" s="46"/>
      <c r="K90" s="46"/>
      <c r="L90" s="46"/>
      <c r="M90" s="46"/>
      <c r="N90" s="46"/>
      <c r="O90" s="220"/>
      <c r="P90" s="46"/>
      <c r="Q90" s="305"/>
      <c r="R90" s="29"/>
      <c r="S90" s="29"/>
    </row>
    <row r="91" spans="1:19" s="252" customFormat="1" ht="34.5" customHeight="1">
      <c r="A91" s="245"/>
      <c r="B91" s="246"/>
      <c r="C91" s="247"/>
      <c r="D91" s="247"/>
      <c r="E91" s="248">
        <f>+E19</f>
        <v>0</v>
      </c>
      <c r="F91" s="248">
        <f>+F19</f>
        <v>0</v>
      </c>
      <c r="G91" s="249">
        <f>+G19</f>
        <v>0</v>
      </c>
      <c r="H91" s="250"/>
      <c r="I91" s="279" t="str">
        <f>+I19</f>
        <v>PLANIFICACIÓN</v>
      </c>
      <c r="J91" s="279" t="s">
        <v>137</v>
      </c>
      <c r="K91" s="279" t="str">
        <f>+K19</f>
        <v>N-1</v>
      </c>
      <c r="L91" s="279" t="s">
        <v>137</v>
      </c>
      <c r="M91" s="279" t="str">
        <f>+M19</f>
        <v>N-2</v>
      </c>
      <c r="N91" s="280" t="s">
        <v>137</v>
      </c>
      <c r="O91" s="251"/>
      <c r="P91" s="295" t="s">
        <v>46</v>
      </c>
      <c r="Q91" s="280" t="s">
        <v>47</v>
      </c>
    </row>
    <row r="92" spans="1:19" ht="15.6">
      <c r="A92" s="521" t="s">
        <v>138</v>
      </c>
      <c r="B92" s="522"/>
      <c r="C92" s="522" t="s">
        <v>139</v>
      </c>
      <c r="D92" s="522"/>
      <c r="E92" s="522"/>
      <c r="F92" s="522"/>
      <c r="G92" s="522"/>
      <c r="H92" s="522"/>
      <c r="I92" s="299"/>
      <c r="J92" s="299"/>
      <c r="K92" s="299"/>
      <c r="L92" s="299"/>
      <c r="M92" s="299"/>
      <c r="N92" s="300"/>
      <c r="O92" s="232"/>
      <c r="P92" s="302"/>
      <c r="Q92" s="303"/>
      <c r="R92" s="29"/>
      <c r="S92" s="29"/>
    </row>
    <row r="93" spans="1:19" ht="15.6">
      <c r="A93" s="523"/>
      <c r="B93" s="524"/>
      <c r="C93" s="525" t="s">
        <v>140</v>
      </c>
      <c r="D93" s="525"/>
      <c r="E93" s="525"/>
      <c r="F93" s="525"/>
      <c r="G93" s="525"/>
      <c r="H93" s="525"/>
      <c r="I93" s="301">
        <f>+I94+I113+I119</f>
        <v>1982278.3800000001</v>
      </c>
      <c r="J93" s="307">
        <f t="shared" ref="J93:J160" si="8">+I93/$I$160</f>
        <v>0.71631754288528748</v>
      </c>
      <c r="K93" s="301">
        <f>+K94+K113+K119</f>
        <v>1956916.81</v>
      </c>
      <c r="L93" s="307">
        <f>+K93/$K$160</f>
        <v>0.83361225316419252</v>
      </c>
      <c r="M93" s="301">
        <f>+M94+M113+M119</f>
        <v>1836906.32</v>
      </c>
      <c r="N93" s="314">
        <f t="shared" ref="N93:N127" si="9">+M93/$M$160</f>
        <v>0.86789046060931885</v>
      </c>
      <c r="O93" s="229"/>
      <c r="P93" s="304">
        <f t="shared" ref="P93:P160" si="10">+I93-K93</f>
        <v>25361.570000000065</v>
      </c>
      <c r="Q93" s="314">
        <f t="shared" ref="Q93:Q119" si="11">IF(ISERROR(+(I93-K93)/K93)=TRUE,"",(I93-K93)/K93)</f>
        <v>1.2959963280196905E-2</v>
      </c>
      <c r="R93" s="29"/>
      <c r="S93" s="29"/>
    </row>
    <row r="94" spans="1:19" ht="13.2">
      <c r="A94" s="526"/>
      <c r="B94" s="527"/>
      <c r="C94" s="528" t="s">
        <v>141</v>
      </c>
      <c r="D94" s="528"/>
      <c r="E94" s="528"/>
      <c r="F94" s="528"/>
      <c r="G94" s="528"/>
      <c r="H94" s="528"/>
      <c r="I94" s="47">
        <f>+I95+I98+I99+I105+I106+I109+I110+I111+I112</f>
        <v>1963458.32</v>
      </c>
      <c r="J94" s="311">
        <f t="shared" si="8"/>
        <v>0.70951671245088921</v>
      </c>
      <c r="K94" s="47">
        <f>+K95+K98+K99+K105+K106+K109+K110+K111+K112</f>
        <v>1936113.58</v>
      </c>
      <c r="L94" s="311">
        <f t="shared" ref="L94:L160" si="12">+K94/$K$160</f>
        <v>0.82475044189823854</v>
      </c>
      <c r="M94" s="47">
        <f>+M95+M98+M99+M105+M106+M109+M110+M111+M112</f>
        <v>1815924.2</v>
      </c>
      <c r="N94" s="315">
        <f t="shared" si="9"/>
        <v>0.85797695462750045</v>
      </c>
      <c r="O94" s="230"/>
      <c r="P94" s="222">
        <f t="shared" si="10"/>
        <v>27344.739999999991</v>
      </c>
      <c r="Q94" s="315">
        <f t="shared" si="11"/>
        <v>1.4123520583952512E-2</v>
      </c>
      <c r="R94" s="29"/>
      <c r="S94" s="29"/>
    </row>
    <row r="95" spans="1:19" ht="13.2" outlineLevel="1">
      <c r="A95" s="529"/>
      <c r="B95" s="530"/>
      <c r="C95" s="528" t="s">
        <v>142</v>
      </c>
      <c r="D95" s="528"/>
      <c r="E95" s="528"/>
      <c r="F95" s="528"/>
      <c r="G95" s="528"/>
      <c r="H95" s="528"/>
      <c r="I95" s="47">
        <f>SUM(I96:I97)</f>
        <v>79180.31</v>
      </c>
      <c r="J95" s="311">
        <f t="shared" si="8"/>
        <v>2.8612653841331485E-2</v>
      </c>
      <c r="K95" s="47">
        <f>SUM(K96:K97)</f>
        <v>79028.72</v>
      </c>
      <c r="L95" s="311">
        <f t="shared" si="12"/>
        <v>3.3664849219564981E-2</v>
      </c>
      <c r="M95" s="47">
        <f>SUM(M96:M97)</f>
        <v>88420.36</v>
      </c>
      <c r="N95" s="315">
        <f t="shared" si="9"/>
        <v>4.1776320399203482E-2</v>
      </c>
      <c r="O95" s="230"/>
      <c r="P95" s="222">
        <f t="shared" si="10"/>
        <v>151.58999999999651</v>
      </c>
      <c r="Q95" s="315">
        <f t="shared" si="11"/>
        <v>1.9181634221077668E-3</v>
      </c>
      <c r="R95" s="29"/>
      <c r="S95" s="29"/>
    </row>
    <row r="96" spans="1:19" ht="13.2" outlineLevel="2">
      <c r="A96" s="529" t="s">
        <v>143</v>
      </c>
      <c r="B96" s="530"/>
      <c r="C96" s="531" t="s">
        <v>1361</v>
      </c>
      <c r="D96" s="531"/>
      <c r="E96" s="531"/>
      <c r="F96" s="531"/>
      <c r="G96" s="531"/>
      <c r="H96" s="531"/>
      <c r="I96" s="41">
        <v>79286.02</v>
      </c>
      <c r="J96" s="309">
        <f t="shared" si="8"/>
        <v>2.8650853283055916E-2</v>
      </c>
      <c r="K96" s="41">
        <v>79028.72</v>
      </c>
      <c r="L96" s="309">
        <f t="shared" si="12"/>
        <v>3.3664849219564981E-2</v>
      </c>
      <c r="M96" s="41">
        <v>88420.36</v>
      </c>
      <c r="N96" s="316">
        <f t="shared" si="9"/>
        <v>4.1776320399203482E-2</v>
      </c>
      <c r="O96" s="231"/>
      <c r="P96" s="223">
        <f t="shared" si="10"/>
        <v>257.30000000000291</v>
      </c>
      <c r="Q96" s="316">
        <f t="shared" si="11"/>
        <v>3.2557784056227016E-3</v>
      </c>
      <c r="R96" s="29"/>
      <c r="S96" s="29"/>
    </row>
    <row r="97" spans="1:19" ht="13.2" outlineLevel="2">
      <c r="A97" s="529" t="s">
        <v>144</v>
      </c>
      <c r="B97" s="530"/>
      <c r="C97" s="531" t="s">
        <v>1362</v>
      </c>
      <c r="D97" s="531"/>
      <c r="E97" s="531"/>
      <c r="F97" s="531"/>
      <c r="G97" s="531"/>
      <c r="H97" s="531"/>
      <c r="I97" s="41">
        <v>-105.71</v>
      </c>
      <c r="J97" s="309">
        <f t="shared" si="8"/>
        <v>-3.8199441724428097E-5</v>
      </c>
      <c r="K97" s="41">
        <v>0</v>
      </c>
      <c r="L97" s="309">
        <f t="shared" si="12"/>
        <v>0</v>
      </c>
      <c r="M97" s="41">
        <f>-E!B370</f>
        <v>0</v>
      </c>
      <c r="N97" s="316">
        <f t="shared" si="9"/>
        <v>0</v>
      </c>
      <c r="O97" s="231"/>
      <c r="P97" s="223">
        <f t="shared" si="10"/>
        <v>-105.71</v>
      </c>
      <c r="Q97" s="316" t="str">
        <f t="shared" si="11"/>
        <v/>
      </c>
      <c r="R97" s="29"/>
      <c r="S97" s="29"/>
    </row>
    <row r="98" spans="1:19" ht="13.2" outlineLevel="1">
      <c r="A98" s="529">
        <v>110</v>
      </c>
      <c r="B98" s="530"/>
      <c r="C98" s="528" t="s">
        <v>145</v>
      </c>
      <c r="D98" s="528"/>
      <c r="E98" s="528"/>
      <c r="F98" s="528"/>
      <c r="G98" s="528"/>
      <c r="H98" s="528"/>
      <c r="I98" s="47">
        <f>-E!B72</f>
        <v>0</v>
      </c>
      <c r="J98" s="311">
        <f t="shared" si="8"/>
        <v>0</v>
      </c>
      <c r="K98" s="47">
        <f>-E!B224</f>
        <v>0</v>
      </c>
      <c r="L98" s="311">
        <f t="shared" si="12"/>
        <v>0</v>
      </c>
      <c r="M98" s="47">
        <f>-E!B371</f>
        <v>0</v>
      </c>
      <c r="N98" s="315">
        <f t="shared" si="9"/>
        <v>0</v>
      </c>
      <c r="O98" s="230"/>
      <c r="P98" s="222">
        <f t="shared" si="10"/>
        <v>0</v>
      </c>
      <c r="Q98" s="315" t="str">
        <f t="shared" si="11"/>
        <v/>
      </c>
      <c r="R98" s="29"/>
      <c r="S98" s="29"/>
    </row>
    <row r="99" spans="1:19" ht="13.2" outlineLevel="1">
      <c r="A99" s="529"/>
      <c r="B99" s="530"/>
      <c r="C99" s="528" t="s">
        <v>146</v>
      </c>
      <c r="D99" s="528"/>
      <c r="E99" s="528"/>
      <c r="F99" s="528"/>
      <c r="G99" s="528"/>
      <c r="H99" s="528"/>
      <c r="I99" s="47">
        <f>SUM(I100:I104)</f>
        <v>1868881.88</v>
      </c>
      <c r="J99" s="311">
        <f t="shared" si="8"/>
        <v>0.67534050198561746</v>
      </c>
      <c r="K99" s="47">
        <f>SUM(K100:K104)</f>
        <v>1752440.5899999999</v>
      </c>
      <c r="L99" s="311">
        <f t="shared" si="12"/>
        <v>0.74650896824085577</v>
      </c>
      <c r="M99" s="47">
        <f>SUM(M100:M104)</f>
        <v>1727503.8399999999</v>
      </c>
      <c r="N99" s="315">
        <f t="shared" si="9"/>
        <v>0.81620063422829692</v>
      </c>
      <c r="O99" s="230"/>
      <c r="P99" s="222">
        <f>+I99-K99</f>
        <v>116441.29000000004</v>
      </c>
      <c r="Q99" s="315">
        <f t="shared" si="11"/>
        <v>6.6445213985827645E-2</v>
      </c>
      <c r="R99" s="29"/>
      <c r="S99" s="29"/>
    </row>
    <row r="100" spans="1:19" ht="13.2" outlineLevel="2">
      <c r="A100" s="529" t="s">
        <v>147</v>
      </c>
      <c r="B100" s="530"/>
      <c r="C100" s="531" t="s">
        <v>1360</v>
      </c>
      <c r="D100" s="531"/>
      <c r="E100" s="531"/>
      <c r="F100" s="531"/>
      <c r="G100" s="531"/>
      <c r="H100" s="531"/>
      <c r="I100" s="41">
        <v>1332395.69</v>
      </c>
      <c r="J100" s="309">
        <f t="shared" si="8"/>
        <v>0.48147546603002706</v>
      </c>
      <c r="K100" s="41">
        <v>1315816.8799999999</v>
      </c>
      <c r="L100" s="309">
        <f t="shared" si="12"/>
        <v>0.56051492249600421</v>
      </c>
      <c r="M100" s="41">
        <v>1290880.1399999999</v>
      </c>
      <c r="N100" s="316">
        <f t="shared" si="9"/>
        <v>0.60990729200388505</v>
      </c>
      <c r="O100" s="231"/>
      <c r="P100" s="223">
        <f t="shared" si="10"/>
        <v>16578.810000000056</v>
      </c>
      <c r="Q100" s="316">
        <f t="shared" si="11"/>
        <v>1.2599633164760782E-2</v>
      </c>
      <c r="R100" s="29"/>
      <c r="S100" s="29"/>
    </row>
    <row r="101" spans="1:19" ht="13.2" outlineLevel="2">
      <c r="A101" s="529" t="s">
        <v>148</v>
      </c>
      <c r="B101" s="530"/>
      <c r="C101" s="531" t="s">
        <v>149</v>
      </c>
      <c r="D101" s="531"/>
      <c r="E101" s="531"/>
      <c r="F101" s="531"/>
      <c r="G101" s="531"/>
      <c r="H101" s="531"/>
      <c r="I101" s="41">
        <v>536486.18999999994</v>
      </c>
      <c r="J101" s="309">
        <f t="shared" si="8"/>
        <v>0.19386503595559038</v>
      </c>
      <c r="K101" s="41">
        <v>436623.71</v>
      </c>
      <c r="L101" s="309">
        <f t="shared" si="12"/>
        <v>0.18599404574485157</v>
      </c>
      <c r="M101" s="41">
        <v>436623.7</v>
      </c>
      <c r="N101" s="316">
        <f t="shared" si="9"/>
        <v>0.2062933422244119</v>
      </c>
      <c r="O101" s="231"/>
      <c r="P101" s="223">
        <f t="shared" si="10"/>
        <v>99862.479999999923</v>
      </c>
      <c r="Q101" s="316">
        <f t="shared" si="11"/>
        <v>0.22871520192982631</v>
      </c>
      <c r="R101" s="29"/>
      <c r="S101" s="29"/>
    </row>
    <row r="102" spans="1:19" ht="13.2" outlineLevel="2">
      <c r="A102" s="529"/>
      <c r="B102" s="530"/>
      <c r="C102" s="531" t="s">
        <v>1322</v>
      </c>
      <c r="D102" s="531"/>
      <c r="E102" s="531"/>
      <c r="F102" s="531"/>
      <c r="G102" s="531"/>
      <c r="H102" s="531"/>
      <c r="I102" s="41">
        <f>-E!B75</f>
        <v>0</v>
      </c>
      <c r="J102" s="309">
        <f t="shared" si="8"/>
        <v>0</v>
      </c>
      <c r="K102" s="41">
        <f>-E!B513</f>
        <v>0</v>
      </c>
      <c r="L102" s="309">
        <f t="shared" si="12"/>
        <v>0</v>
      </c>
      <c r="M102" s="41">
        <f>-E!B527</f>
        <v>0</v>
      </c>
      <c r="N102" s="316">
        <f t="shared" si="9"/>
        <v>0</v>
      </c>
      <c r="O102" s="231"/>
      <c r="P102" s="223">
        <f t="shared" ref="P102:P104" si="13">+I102-K102</f>
        <v>0</v>
      </c>
      <c r="Q102" s="316" t="str">
        <f t="shared" ref="Q102:Q104" si="14">IF(ISERROR(+(I102-K102)/K102)=TRUE,"",(I102-K102)/K102)</f>
        <v/>
      </c>
      <c r="R102" s="29"/>
      <c r="S102" s="29"/>
    </row>
    <row r="103" spans="1:19" ht="13.2" outlineLevel="2">
      <c r="A103" s="529"/>
      <c r="B103" s="530"/>
      <c r="C103" s="531" t="s">
        <v>1349</v>
      </c>
      <c r="D103" s="531"/>
      <c r="E103" s="531"/>
      <c r="F103" s="531"/>
      <c r="G103" s="531"/>
      <c r="H103" s="531"/>
      <c r="I103" s="41">
        <f>-E!B76</f>
        <v>0</v>
      </c>
      <c r="J103" s="309">
        <f t="shared" si="8"/>
        <v>0</v>
      </c>
      <c r="K103" s="41">
        <f>-E!B514</f>
        <v>0</v>
      </c>
      <c r="L103" s="309">
        <f t="shared" si="12"/>
        <v>0</v>
      </c>
      <c r="M103" s="41">
        <f>-E!B528</f>
        <v>0</v>
      </c>
      <c r="N103" s="316">
        <f t="shared" si="9"/>
        <v>0</v>
      </c>
      <c r="O103" s="231"/>
      <c r="P103" s="223">
        <f t="shared" si="13"/>
        <v>0</v>
      </c>
      <c r="Q103" s="316" t="str">
        <f t="shared" si="14"/>
        <v/>
      </c>
      <c r="R103" s="29"/>
      <c r="S103" s="29"/>
    </row>
    <row r="104" spans="1:19" ht="13.2" outlineLevel="2">
      <c r="A104" s="529"/>
      <c r="B104" s="530"/>
      <c r="C104" s="531" t="s">
        <v>1350</v>
      </c>
      <c r="D104" s="531"/>
      <c r="E104" s="531"/>
      <c r="F104" s="531"/>
      <c r="G104" s="531"/>
      <c r="H104" s="531"/>
      <c r="I104" s="41">
        <f>-E!B77</f>
        <v>0</v>
      </c>
      <c r="J104" s="309">
        <f t="shared" si="8"/>
        <v>0</v>
      </c>
      <c r="K104" s="41">
        <f>-E!B515</f>
        <v>0</v>
      </c>
      <c r="L104" s="309">
        <f t="shared" si="12"/>
        <v>0</v>
      </c>
      <c r="M104" s="41">
        <f>-E!B529</f>
        <v>0</v>
      </c>
      <c r="N104" s="316">
        <f t="shared" si="9"/>
        <v>0</v>
      </c>
      <c r="O104" s="231"/>
      <c r="P104" s="223">
        <f t="shared" si="13"/>
        <v>0</v>
      </c>
      <c r="Q104" s="316" t="str">
        <f t="shared" si="14"/>
        <v/>
      </c>
      <c r="R104" s="29"/>
      <c r="S104" s="29"/>
    </row>
    <row r="105" spans="1:19" ht="13.2" outlineLevel="1">
      <c r="A105" s="529" t="s">
        <v>150</v>
      </c>
      <c r="B105" s="530"/>
      <c r="C105" s="532" t="s">
        <v>151</v>
      </c>
      <c r="D105" s="532"/>
      <c r="E105" s="532"/>
      <c r="F105" s="532"/>
      <c r="G105" s="532"/>
      <c r="H105" s="532"/>
      <c r="I105" s="47">
        <f>-E!B78</f>
        <v>0</v>
      </c>
      <c r="J105" s="311">
        <f t="shared" si="8"/>
        <v>0</v>
      </c>
      <c r="K105" s="47">
        <f>-E!B230</f>
        <v>0</v>
      </c>
      <c r="L105" s="311">
        <f t="shared" si="12"/>
        <v>0</v>
      </c>
      <c r="M105" s="47">
        <f>-E!B377</f>
        <v>0</v>
      </c>
      <c r="N105" s="315">
        <f t="shared" si="9"/>
        <v>0</v>
      </c>
      <c r="O105" s="230"/>
      <c r="P105" s="222">
        <f t="shared" si="10"/>
        <v>0</v>
      </c>
      <c r="Q105" s="315" t="str">
        <f t="shared" si="11"/>
        <v/>
      </c>
      <c r="R105" s="29"/>
      <c r="S105" s="29"/>
    </row>
    <row r="106" spans="1:19" ht="13.2" outlineLevel="1">
      <c r="A106" s="529"/>
      <c r="B106" s="530"/>
      <c r="C106" s="528" t="s">
        <v>152</v>
      </c>
      <c r="D106" s="528"/>
      <c r="E106" s="528"/>
      <c r="F106" s="528"/>
      <c r="G106" s="528"/>
      <c r="H106" s="528"/>
      <c r="I106" s="47">
        <f>SUM(I107:I108)</f>
        <v>0</v>
      </c>
      <c r="J106" s="311">
        <f t="shared" si="8"/>
        <v>0</v>
      </c>
      <c r="K106" s="47">
        <f>SUM(K107:K108)</f>
        <v>0</v>
      </c>
      <c r="L106" s="311">
        <f t="shared" si="12"/>
        <v>0</v>
      </c>
      <c r="M106" s="47">
        <f>SUM(M107:M108)</f>
        <v>0</v>
      </c>
      <c r="N106" s="315">
        <f t="shared" si="9"/>
        <v>0</v>
      </c>
      <c r="O106" s="230"/>
      <c r="P106" s="222">
        <f t="shared" si="10"/>
        <v>0</v>
      </c>
      <c r="Q106" s="315" t="str">
        <f t="shared" si="11"/>
        <v/>
      </c>
      <c r="R106" s="29"/>
      <c r="S106" s="29"/>
    </row>
    <row r="107" spans="1:19" ht="13.2" outlineLevel="2">
      <c r="A107" s="529">
        <v>120</v>
      </c>
      <c r="B107" s="530"/>
      <c r="C107" s="531" t="s">
        <v>153</v>
      </c>
      <c r="D107" s="531"/>
      <c r="E107" s="531"/>
      <c r="F107" s="531"/>
      <c r="G107" s="531"/>
      <c r="H107" s="531"/>
      <c r="I107" s="41">
        <f>-E!B79</f>
        <v>0</v>
      </c>
      <c r="J107" s="309">
        <f t="shared" si="8"/>
        <v>0</v>
      </c>
      <c r="K107" s="41">
        <f>-E!B231</f>
        <v>0</v>
      </c>
      <c r="L107" s="309">
        <f t="shared" si="12"/>
        <v>0</v>
      </c>
      <c r="M107" s="41">
        <f>-E!B378</f>
        <v>0</v>
      </c>
      <c r="N107" s="316">
        <f t="shared" si="9"/>
        <v>0</v>
      </c>
      <c r="O107" s="231"/>
      <c r="P107" s="223">
        <f t="shared" si="10"/>
        <v>0</v>
      </c>
      <c r="Q107" s="316" t="str">
        <f t="shared" si="11"/>
        <v/>
      </c>
      <c r="R107" s="29"/>
      <c r="S107" s="29"/>
    </row>
    <row r="108" spans="1:19" ht="13.2" outlineLevel="2">
      <c r="A108" s="529" t="s">
        <v>154</v>
      </c>
      <c r="B108" s="530"/>
      <c r="C108" s="531" t="s">
        <v>155</v>
      </c>
      <c r="D108" s="531"/>
      <c r="E108" s="531"/>
      <c r="F108" s="531"/>
      <c r="G108" s="531"/>
      <c r="H108" s="531"/>
      <c r="I108" s="41">
        <f>-E!B80</f>
        <v>0</v>
      </c>
      <c r="J108" s="309">
        <f t="shared" si="8"/>
        <v>0</v>
      </c>
      <c r="K108" s="41">
        <f>-E!B232</f>
        <v>0</v>
      </c>
      <c r="L108" s="309">
        <f t="shared" si="12"/>
        <v>0</v>
      </c>
      <c r="M108" s="41">
        <f>-E!B379</f>
        <v>0</v>
      </c>
      <c r="N108" s="316">
        <f t="shared" si="9"/>
        <v>0</v>
      </c>
      <c r="O108" s="231"/>
      <c r="P108" s="223">
        <f t="shared" si="10"/>
        <v>0</v>
      </c>
      <c r="Q108" s="316" t="str">
        <f t="shared" si="11"/>
        <v/>
      </c>
      <c r="R108" s="29"/>
      <c r="S108" s="29"/>
    </row>
    <row r="109" spans="1:19" ht="13.2" outlineLevel="1">
      <c r="A109" s="529">
        <v>118</v>
      </c>
      <c r="B109" s="530"/>
      <c r="C109" s="528" t="s">
        <v>156</v>
      </c>
      <c r="D109" s="528"/>
      <c r="E109" s="528"/>
      <c r="F109" s="528"/>
      <c r="G109" s="528"/>
      <c r="H109" s="528"/>
      <c r="I109" s="43">
        <f>-E!B81</f>
        <v>0</v>
      </c>
      <c r="J109" s="311">
        <f t="shared" si="8"/>
        <v>0</v>
      </c>
      <c r="K109" s="43">
        <f>-E!B233</f>
        <v>0</v>
      </c>
      <c r="L109" s="311">
        <f t="shared" si="12"/>
        <v>0</v>
      </c>
      <c r="M109" s="43">
        <f>-E!B380</f>
        <v>0</v>
      </c>
      <c r="N109" s="315">
        <f t="shared" si="9"/>
        <v>0</v>
      </c>
      <c r="O109" s="230"/>
      <c r="P109" s="222">
        <f t="shared" si="10"/>
        <v>0</v>
      </c>
      <c r="Q109" s="315" t="str">
        <f t="shared" si="11"/>
        <v/>
      </c>
      <c r="R109" s="29"/>
      <c r="S109" s="29"/>
    </row>
    <row r="110" spans="1:19" ht="13.2" outlineLevel="1">
      <c r="A110" s="529">
        <v>129</v>
      </c>
      <c r="B110" s="530"/>
      <c r="C110" s="528" t="s">
        <v>157</v>
      </c>
      <c r="D110" s="528"/>
      <c r="E110" s="528"/>
      <c r="F110" s="528"/>
      <c r="G110" s="528"/>
      <c r="H110" s="528"/>
      <c r="I110" s="589">
        <f>+'AG15.1.2'!E86</f>
        <v>15396.130000000026</v>
      </c>
      <c r="J110" s="324">
        <f t="shared" si="8"/>
        <v>5.5635566239402153E-3</v>
      </c>
      <c r="K110" s="589">
        <f>+'AG15.1.2'!H86</f>
        <v>104644.27000000018</v>
      </c>
      <c r="L110" s="311">
        <f t="shared" si="12"/>
        <v>4.4576624437817708E-2</v>
      </c>
      <c r="M110" s="432">
        <f>-E!B381</f>
        <v>0</v>
      </c>
      <c r="N110" s="315">
        <f t="shared" si="9"/>
        <v>0</v>
      </c>
      <c r="O110" s="230"/>
      <c r="P110" s="222">
        <f t="shared" si="10"/>
        <v>-89248.140000000159</v>
      </c>
      <c r="Q110" s="315">
        <f t="shared" si="11"/>
        <v>-0.85287173392293725</v>
      </c>
      <c r="R110" s="29"/>
      <c r="S110" s="29"/>
    </row>
    <row r="111" spans="1:19" ht="13.2" outlineLevel="1">
      <c r="A111" s="529" t="s">
        <v>158</v>
      </c>
      <c r="B111" s="530"/>
      <c r="C111" s="528" t="s">
        <v>159</v>
      </c>
      <c r="D111" s="528"/>
      <c r="E111" s="528"/>
      <c r="F111" s="528"/>
      <c r="G111" s="528"/>
      <c r="H111" s="528"/>
      <c r="I111" s="43">
        <f>-E!B83</f>
        <v>0</v>
      </c>
      <c r="J111" s="311">
        <f t="shared" si="8"/>
        <v>0</v>
      </c>
      <c r="K111" s="43">
        <f>-E!B235</f>
        <v>0</v>
      </c>
      <c r="L111" s="311">
        <f t="shared" si="12"/>
        <v>0</v>
      </c>
      <c r="M111" s="43">
        <f>-E!B382</f>
        <v>0</v>
      </c>
      <c r="N111" s="315">
        <f t="shared" si="9"/>
        <v>0</v>
      </c>
      <c r="O111" s="230"/>
      <c r="P111" s="222">
        <f t="shared" si="10"/>
        <v>0</v>
      </c>
      <c r="Q111" s="315" t="str">
        <f t="shared" si="11"/>
        <v/>
      </c>
      <c r="R111" s="29"/>
      <c r="S111" s="29"/>
    </row>
    <row r="112" spans="1:19" ht="13.2" outlineLevel="1">
      <c r="A112" s="529">
        <v>111</v>
      </c>
      <c r="B112" s="530"/>
      <c r="C112" s="528" t="s">
        <v>160</v>
      </c>
      <c r="D112" s="528"/>
      <c r="E112" s="528"/>
      <c r="F112" s="528"/>
      <c r="G112" s="528"/>
      <c r="H112" s="528"/>
      <c r="I112" s="43">
        <f>-E!B84</f>
        <v>0</v>
      </c>
      <c r="J112" s="311">
        <f t="shared" si="8"/>
        <v>0</v>
      </c>
      <c r="K112" s="43">
        <f>-E!B236</f>
        <v>0</v>
      </c>
      <c r="L112" s="311">
        <f t="shared" si="12"/>
        <v>0</v>
      </c>
      <c r="M112" s="43">
        <f>-E!B383</f>
        <v>0</v>
      </c>
      <c r="N112" s="315">
        <f t="shared" si="9"/>
        <v>0</v>
      </c>
      <c r="O112" s="230"/>
      <c r="P112" s="222">
        <f t="shared" si="10"/>
        <v>0</v>
      </c>
      <c r="Q112" s="315" t="str">
        <f t="shared" si="11"/>
        <v/>
      </c>
      <c r="R112" s="29"/>
      <c r="S112" s="29"/>
    </row>
    <row r="113" spans="1:19" ht="13.2">
      <c r="A113" s="529"/>
      <c r="B113" s="530"/>
      <c r="C113" s="528" t="s">
        <v>161</v>
      </c>
      <c r="D113" s="528"/>
      <c r="E113" s="528"/>
      <c r="F113" s="528"/>
      <c r="G113" s="528"/>
      <c r="H113" s="528"/>
      <c r="I113" s="47">
        <f>SUM(I114:I118)</f>
        <v>0</v>
      </c>
      <c r="J113" s="311">
        <f t="shared" si="8"/>
        <v>0</v>
      </c>
      <c r="K113" s="47">
        <f>SUM(K114:K118)</f>
        <v>0</v>
      </c>
      <c r="L113" s="311">
        <f t="shared" si="12"/>
        <v>0</v>
      </c>
      <c r="M113" s="47">
        <f>SUM(M114:M118)</f>
        <v>0</v>
      </c>
      <c r="N113" s="315">
        <f t="shared" si="9"/>
        <v>0</v>
      </c>
      <c r="O113" s="230"/>
      <c r="P113" s="222">
        <f t="shared" si="10"/>
        <v>0</v>
      </c>
      <c r="Q113" s="315" t="str">
        <f t="shared" si="11"/>
        <v/>
      </c>
      <c r="R113" s="29"/>
      <c r="S113" s="29"/>
    </row>
    <row r="114" spans="1:19" ht="13.2" outlineLevel="1">
      <c r="A114" s="529">
        <v>133</v>
      </c>
      <c r="B114" s="530"/>
      <c r="C114" s="528" t="s">
        <v>162</v>
      </c>
      <c r="D114" s="528"/>
      <c r="E114" s="528"/>
      <c r="F114" s="528"/>
      <c r="G114" s="528"/>
      <c r="H114" s="528"/>
      <c r="I114" s="47">
        <f>-E!B85</f>
        <v>0</v>
      </c>
      <c r="J114" s="311">
        <f t="shared" si="8"/>
        <v>0</v>
      </c>
      <c r="K114" s="47">
        <f>-E!B237</f>
        <v>0</v>
      </c>
      <c r="L114" s="311">
        <f t="shared" si="12"/>
        <v>0</v>
      </c>
      <c r="M114" s="47">
        <f>-E!B384</f>
        <v>0</v>
      </c>
      <c r="N114" s="315">
        <f t="shared" si="9"/>
        <v>0</v>
      </c>
      <c r="O114" s="230"/>
      <c r="P114" s="222">
        <f t="shared" si="10"/>
        <v>0</v>
      </c>
      <c r="Q114" s="315" t="str">
        <f t="shared" si="11"/>
        <v/>
      </c>
      <c r="R114" s="29"/>
      <c r="S114" s="29"/>
    </row>
    <row r="115" spans="1:19" ht="13.2" outlineLevel="1">
      <c r="A115" s="529">
        <v>1340</v>
      </c>
      <c r="B115" s="530"/>
      <c r="C115" s="528" t="s">
        <v>163</v>
      </c>
      <c r="D115" s="528"/>
      <c r="E115" s="528"/>
      <c r="F115" s="528"/>
      <c r="G115" s="528"/>
      <c r="H115" s="528"/>
      <c r="I115" s="47">
        <f>-E!B86</f>
        <v>0</v>
      </c>
      <c r="J115" s="311">
        <f t="shared" si="8"/>
        <v>0</v>
      </c>
      <c r="K115" s="47">
        <f>-E!B238</f>
        <v>0</v>
      </c>
      <c r="L115" s="311">
        <f t="shared" si="12"/>
        <v>0</v>
      </c>
      <c r="M115" s="47">
        <f>-E!B385</f>
        <v>0</v>
      </c>
      <c r="N115" s="315">
        <f t="shared" si="9"/>
        <v>0</v>
      </c>
      <c r="O115" s="230"/>
      <c r="P115" s="222">
        <f t="shared" si="10"/>
        <v>0</v>
      </c>
      <c r="Q115" s="315" t="str">
        <f t="shared" si="11"/>
        <v/>
      </c>
      <c r="R115" s="29"/>
      <c r="S115" s="29"/>
    </row>
    <row r="116" spans="1:19" ht="13.2" outlineLevel="1">
      <c r="A116" s="529">
        <v>136</v>
      </c>
      <c r="B116" s="530"/>
      <c r="C116" s="212" t="s">
        <v>164</v>
      </c>
      <c r="D116" s="212"/>
      <c r="E116" s="212"/>
      <c r="F116" s="212"/>
      <c r="G116" s="212"/>
      <c r="H116" s="212"/>
      <c r="I116" s="47">
        <f>-E!B89</f>
        <v>0</v>
      </c>
      <c r="J116" s="311">
        <f t="shared" si="8"/>
        <v>0</v>
      </c>
      <c r="K116" s="47">
        <f>-E!B241</f>
        <v>0</v>
      </c>
      <c r="L116" s="311">
        <f t="shared" si="12"/>
        <v>0</v>
      </c>
      <c r="M116" s="47">
        <f>-E!B388</f>
        <v>0</v>
      </c>
      <c r="N116" s="315">
        <f t="shared" si="9"/>
        <v>0</v>
      </c>
      <c r="O116" s="230"/>
      <c r="P116" s="222">
        <f t="shared" si="10"/>
        <v>0</v>
      </c>
      <c r="Q116" s="315" t="str">
        <f t="shared" si="11"/>
        <v/>
      </c>
      <c r="R116" s="29"/>
      <c r="S116" s="29"/>
    </row>
    <row r="117" spans="1:19" ht="13.2" outlineLevel="1">
      <c r="A117" s="529">
        <v>135</v>
      </c>
      <c r="B117" s="530"/>
      <c r="C117" s="212" t="s">
        <v>165</v>
      </c>
      <c r="D117" s="212"/>
      <c r="E117" s="212"/>
      <c r="F117" s="212"/>
      <c r="G117" s="212"/>
      <c r="H117" s="212"/>
      <c r="I117" s="47">
        <f>-E!B88</f>
        <v>0</v>
      </c>
      <c r="J117" s="311">
        <f t="shared" si="8"/>
        <v>0</v>
      </c>
      <c r="K117" s="47">
        <f>-E!B240</f>
        <v>0</v>
      </c>
      <c r="L117" s="311">
        <f t="shared" si="12"/>
        <v>0</v>
      </c>
      <c r="M117" s="47">
        <f>-E!B387</f>
        <v>0</v>
      </c>
      <c r="N117" s="315">
        <f t="shared" si="9"/>
        <v>0</v>
      </c>
      <c r="O117" s="230"/>
      <c r="P117" s="222">
        <f t="shared" si="10"/>
        <v>0</v>
      </c>
      <c r="Q117" s="315" t="str">
        <f t="shared" si="11"/>
        <v/>
      </c>
      <c r="R117" s="29"/>
      <c r="S117" s="29"/>
    </row>
    <row r="118" spans="1:19" ht="13.2" outlineLevel="1">
      <c r="A118" s="529">
        <v>137</v>
      </c>
      <c r="B118" s="530"/>
      <c r="C118" s="533" t="s">
        <v>166</v>
      </c>
      <c r="D118" s="533"/>
      <c r="E118" s="533"/>
      <c r="F118" s="533"/>
      <c r="G118" s="533"/>
      <c r="H118" s="533"/>
      <c r="I118" s="47">
        <f>-E!B87</f>
        <v>0</v>
      </c>
      <c r="J118" s="311">
        <f t="shared" si="8"/>
        <v>0</v>
      </c>
      <c r="K118" s="47">
        <f>-E!B239</f>
        <v>0</v>
      </c>
      <c r="L118" s="311">
        <f t="shared" si="12"/>
        <v>0</v>
      </c>
      <c r="M118" s="47">
        <f>-E!B386</f>
        <v>0</v>
      </c>
      <c r="N118" s="315">
        <f t="shared" si="9"/>
        <v>0</v>
      </c>
      <c r="O118" s="230"/>
      <c r="P118" s="224">
        <f t="shared" si="10"/>
        <v>0</v>
      </c>
      <c r="Q118" s="315" t="str">
        <f t="shared" si="11"/>
        <v/>
      </c>
      <c r="R118" s="29"/>
      <c r="S118" s="29"/>
    </row>
    <row r="119" spans="1:19" ht="13.2">
      <c r="A119" s="529" t="s">
        <v>167</v>
      </c>
      <c r="B119" s="530"/>
      <c r="C119" s="533" t="s">
        <v>168</v>
      </c>
      <c r="D119" s="533"/>
      <c r="E119" s="533"/>
      <c r="F119" s="533"/>
      <c r="G119" s="533"/>
      <c r="H119" s="533"/>
      <c r="I119" s="47">
        <v>18820.060000000001</v>
      </c>
      <c r="J119" s="311">
        <f t="shared" si="8"/>
        <v>6.800830434398262E-3</v>
      </c>
      <c r="K119" s="47">
        <v>20803.23</v>
      </c>
      <c r="L119" s="311">
        <f t="shared" si="12"/>
        <v>8.8618112659540824E-3</v>
      </c>
      <c r="M119" s="47">
        <v>20982.12</v>
      </c>
      <c r="N119" s="315">
        <f t="shared" si="9"/>
        <v>9.9135059818183865E-3</v>
      </c>
      <c r="O119" s="230"/>
      <c r="P119" s="222">
        <f t="shared" si="10"/>
        <v>-1983.1699999999983</v>
      </c>
      <c r="Q119" s="315">
        <f t="shared" si="11"/>
        <v>-9.532990790372449E-2</v>
      </c>
      <c r="R119" s="29"/>
      <c r="S119" s="29"/>
    </row>
    <row r="120" spans="1:19" ht="13.2">
      <c r="A120" s="526"/>
      <c r="B120" s="527"/>
      <c r="C120" s="534"/>
      <c r="D120" s="534"/>
      <c r="E120" s="534"/>
      <c r="F120" s="534"/>
      <c r="G120" s="534"/>
      <c r="H120" s="534"/>
      <c r="I120" s="48"/>
      <c r="J120" s="313">
        <f t="shared" si="8"/>
        <v>0</v>
      </c>
      <c r="K120" s="48"/>
      <c r="L120" s="313">
        <f t="shared" si="12"/>
        <v>0</v>
      </c>
      <c r="M120" s="48"/>
      <c r="N120" s="317">
        <f t="shared" si="9"/>
        <v>0</v>
      </c>
      <c r="O120" s="231"/>
      <c r="P120" s="225">
        <f t="shared" si="10"/>
        <v>0</v>
      </c>
      <c r="Q120" s="317"/>
      <c r="R120" s="29"/>
      <c r="S120" s="29"/>
    </row>
    <row r="121" spans="1:19" ht="15.6">
      <c r="A121" s="535"/>
      <c r="B121" s="536"/>
      <c r="C121" s="525" t="s">
        <v>169</v>
      </c>
      <c r="D121" s="525"/>
      <c r="E121" s="525"/>
      <c r="F121" s="525"/>
      <c r="G121" s="525"/>
      <c r="H121" s="525"/>
      <c r="I121" s="301">
        <f>+I122+I127+I133+I134+I135+I136+I137</f>
        <v>10694.8</v>
      </c>
      <c r="J121" s="307">
        <f t="shared" si="8"/>
        <v>3.8646806295943013E-3</v>
      </c>
      <c r="K121" s="301">
        <f>+K122+K127+K133+K134+K135+K136+K137</f>
        <v>10915.15</v>
      </c>
      <c r="L121" s="307">
        <f t="shared" si="12"/>
        <v>4.6496625398834077E-3</v>
      </c>
      <c r="M121" s="301">
        <f>+M122+M127+M133+M134+M135+M136+M137</f>
        <v>5246.27</v>
      </c>
      <c r="N121" s="314">
        <f t="shared" si="9"/>
        <v>2.4787261262081408E-3</v>
      </c>
      <c r="O121" s="229"/>
      <c r="P121" s="304">
        <f t="shared" si="10"/>
        <v>-220.35000000000036</v>
      </c>
      <c r="Q121" s="314">
        <f t="shared" ref="Q121:Q160" si="15">IF(ISERROR(+(I121-K121)/K121)=TRUE,"",(I121-K121)/K121)</f>
        <v>-2.0187537505210681E-2</v>
      </c>
      <c r="R121" s="29"/>
      <c r="S121" s="29"/>
    </row>
    <row r="122" spans="1:19" ht="13.2">
      <c r="A122" s="529"/>
      <c r="B122" s="530"/>
      <c r="C122" s="537" t="s">
        <v>170</v>
      </c>
      <c r="D122" s="537"/>
      <c r="E122" s="537"/>
      <c r="F122" s="537"/>
      <c r="G122" s="537"/>
      <c r="H122" s="537"/>
      <c r="I122" s="40">
        <f>SUM(I123:I126)</f>
        <v>0</v>
      </c>
      <c r="J122" s="308">
        <f t="shared" si="8"/>
        <v>0</v>
      </c>
      <c r="K122" s="40">
        <f>SUM(K123:K126)</f>
        <v>0</v>
      </c>
      <c r="L122" s="308">
        <f t="shared" si="12"/>
        <v>0</v>
      </c>
      <c r="M122" s="40">
        <f>SUM(M123:M126)</f>
        <v>0</v>
      </c>
      <c r="N122" s="318">
        <f t="shared" si="9"/>
        <v>0</v>
      </c>
      <c r="O122" s="230"/>
      <c r="P122" s="226">
        <f t="shared" si="10"/>
        <v>0</v>
      </c>
      <c r="Q122" s="318" t="str">
        <f t="shared" si="15"/>
        <v/>
      </c>
      <c r="R122" s="29"/>
      <c r="S122" s="29"/>
    </row>
    <row r="123" spans="1:19" ht="13.2" outlineLevel="1">
      <c r="A123" s="529">
        <v>140</v>
      </c>
      <c r="B123" s="530"/>
      <c r="C123" s="531" t="s">
        <v>171</v>
      </c>
      <c r="D123" s="531"/>
      <c r="E123" s="531"/>
      <c r="F123" s="531"/>
      <c r="G123" s="531"/>
      <c r="H123" s="531"/>
      <c r="I123" s="41">
        <f>-E!B91</f>
        <v>0</v>
      </c>
      <c r="J123" s="309">
        <f t="shared" si="8"/>
        <v>0</v>
      </c>
      <c r="K123" s="41">
        <f>-E!B243</f>
        <v>0</v>
      </c>
      <c r="L123" s="309">
        <f t="shared" si="12"/>
        <v>0</v>
      </c>
      <c r="M123" s="41">
        <f>-E!B390</f>
        <v>0</v>
      </c>
      <c r="N123" s="316">
        <f t="shared" si="9"/>
        <v>0</v>
      </c>
      <c r="O123" s="231"/>
      <c r="P123" s="223">
        <f t="shared" si="10"/>
        <v>0</v>
      </c>
      <c r="Q123" s="316" t="str">
        <f t="shared" si="15"/>
        <v/>
      </c>
      <c r="R123" s="29"/>
      <c r="S123" s="29"/>
    </row>
    <row r="124" spans="1:19" ht="13.2" outlineLevel="1">
      <c r="A124" s="529">
        <v>145</v>
      </c>
      <c r="B124" s="530"/>
      <c r="C124" s="531" t="s">
        <v>172</v>
      </c>
      <c r="D124" s="531"/>
      <c r="E124" s="531"/>
      <c r="F124" s="531"/>
      <c r="G124" s="531"/>
      <c r="H124" s="531"/>
      <c r="I124" s="41">
        <v>0</v>
      </c>
      <c r="J124" s="309">
        <f t="shared" si="8"/>
        <v>0</v>
      </c>
      <c r="K124" s="41">
        <v>0</v>
      </c>
      <c r="L124" s="309">
        <f t="shared" si="12"/>
        <v>0</v>
      </c>
      <c r="M124" s="41">
        <f>-E!B391</f>
        <v>0</v>
      </c>
      <c r="N124" s="316">
        <f t="shared" si="9"/>
        <v>0</v>
      </c>
      <c r="O124" s="231"/>
      <c r="P124" s="223">
        <f t="shared" si="10"/>
        <v>0</v>
      </c>
      <c r="Q124" s="316" t="str">
        <f t="shared" si="15"/>
        <v/>
      </c>
      <c r="R124" s="29"/>
      <c r="S124" s="29"/>
    </row>
    <row r="125" spans="1:19" ht="13.2" outlineLevel="1">
      <c r="A125" s="529">
        <v>146</v>
      </c>
      <c r="B125" s="530"/>
      <c r="C125" s="531" t="s">
        <v>173</v>
      </c>
      <c r="D125" s="531"/>
      <c r="E125" s="531"/>
      <c r="F125" s="531"/>
      <c r="G125" s="531"/>
      <c r="H125" s="531"/>
      <c r="I125" s="41">
        <f>-E!B93</f>
        <v>0</v>
      </c>
      <c r="J125" s="309">
        <f t="shared" si="8"/>
        <v>0</v>
      </c>
      <c r="K125" s="41">
        <f>-E!B245</f>
        <v>0</v>
      </c>
      <c r="L125" s="309">
        <f t="shared" si="12"/>
        <v>0</v>
      </c>
      <c r="M125" s="41">
        <f>-E!B392</f>
        <v>0</v>
      </c>
      <c r="N125" s="316">
        <f t="shared" si="9"/>
        <v>0</v>
      </c>
      <c r="O125" s="231"/>
      <c r="P125" s="223">
        <f t="shared" si="10"/>
        <v>0</v>
      </c>
      <c r="Q125" s="316" t="str">
        <f t="shared" si="15"/>
        <v/>
      </c>
      <c r="R125" s="29"/>
      <c r="S125" s="29"/>
    </row>
    <row r="126" spans="1:19" ht="13.2" outlineLevel="1">
      <c r="A126" s="529" t="s">
        <v>174</v>
      </c>
      <c r="B126" s="530"/>
      <c r="C126" s="531" t="s">
        <v>175</v>
      </c>
      <c r="D126" s="531"/>
      <c r="E126" s="531"/>
      <c r="F126" s="531"/>
      <c r="G126" s="531"/>
      <c r="H126" s="531"/>
      <c r="I126" s="41">
        <v>0</v>
      </c>
      <c r="J126" s="309">
        <f t="shared" si="8"/>
        <v>0</v>
      </c>
      <c r="K126" s="41">
        <v>0</v>
      </c>
      <c r="L126" s="309">
        <f t="shared" si="12"/>
        <v>0</v>
      </c>
      <c r="M126" s="41">
        <f>-E!B393</f>
        <v>0</v>
      </c>
      <c r="N126" s="316">
        <f t="shared" si="9"/>
        <v>0</v>
      </c>
      <c r="O126" s="231"/>
      <c r="P126" s="223">
        <f t="shared" si="10"/>
        <v>0</v>
      </c>
      <c r="Q126" s="316" t="str">
        <f t="shared" si="15"/>
        <v/>
      </c>
      <c r="R126" s="29"/>
      <c r="S126" s="29"/>
    </row>
    <row r="127" spans="1:19" ht="13.2">
      <c r="A127" s="529"/>
      <c r="B127" s="530"/>
      <c r="C127" s="537" t="s">
        <v>176</v>
      </c>
      <c r="D127" s="537"/>
      <c r="E127" s="537"/>
      <c r="F127" s="537"/>
      <c r="G127" s="537"/>
      <c r="H127" s="537"/>
      <c r="I127" s="43">
        <f>SUM(I128:I132)</f>
        <v>8780.9699999999993</v>
      </c>
      <c r="J127" s="311">
        <f t="shared" si="8"/>
        <v>3.173097642597213E-3</v>
      </c>
      <c r="K127" s="43">
        <f>SUM(K128:K132)</f>
        <v>8780.9699999999993</v>
      </c>
      <c r="L127" s="311">
        <f t="shared" si="12"/>
        <v>3.74053927548774E-3</v>
      </c>
      <c r="M127" s="43">
        <f>SUM(M128:M132)</f>
        <v>0</v>
      </c>
      <c r="N127" s="315">
        <f t="shared" si="9"/>
        <v>0</v>
      </c>
      <c r="O127" s="230"/>
      <c r="P127" s="224">
        <f t="shared" si="10"/>
        <v>0</v>
      </c>
      <c r="Q127" s="315">
        <f t="shared" si="15"/>
        <v>0</v>
      </c>
      <c r="R127" s="29"/>
      <c r="S127" s="29"/>
    </row>
    <row r="128" spans="1:19" ht="13.2" outlineLevel="1">
      <c r="A128" s="529" t="s">
        <v>177</v>
      </c>
      <c r="B128" s="530"/>
      <c r="C128" s="531" t="s">
        <v>1364</v>
      </c>
      <c r="D128" s="531"/>
      <c r="E128" s="531"/>
      <c r="F128" s="531"/>
      <c r="G128" s="531"/>
      <c r="H128" s="531"/>
      <c r="I128" s="41">
        <v>8780.9699999999993</v>
      </c>
      <c r="J128" s="309">
        <f>+I128/$I$160</f>
        <v>3.173097642597213E-3</v>
      </c>
      <c r="K128" s="41">
        <v>8780.9699999999993</v>
      </c>
      <c r="L128" s="309">
        <f t="shared" si="12"/>
        <v>3.74053927548774E-3</v>
      </c>
      <c r="M128" s="41">
        <f>-E!B394</f>
        <v>0</v>
      </c>
      <c r="N128" s="316">
        <f t="shared" ref="N128:N160" si="16">+M128/$M$160</f>
        <v>0</v>
      </c>
      <c r="O128" s="231"/>
      <c r="P128" s="223">
        <f>+I128-K128</f>
        <v>0</v>
      </c>
      <c r="Q128" s="316">
        <f>IF(ISERROR(+(I128-K128)/K128)=TRUE,"",(I128-K128)/K128)</f>
        <v>0</v>
      </c>
      <c r="R128" s="29"/>
      <c r="S128" s="29"/>
    </row>
    <row r="129" spans="1:19" ht="13.2" outlineLevel="1">
      <c r="A129" s="529" t="s">
        <v>179</v>
      </c>
      <c r="B129" s="530"/>
      <c r="C129" s="531" t="s">
        <v>180</v>
      </c>
      <c r="D129" s="531"/>
      <c r="E129" s="531"/>
      <c r="F129" s="531"/>
      <c r="G129" s="531"/>
      <c r="H129" s="531"/>
      <c r="I129" s="41">
        <v>0</v>
      </c>
      <c r="J129" s="309">
        <f>+I129/$I$160</f>
        <v>0</v>
      </c>
      <c r="K129" s="41">
        <v>0</v>
      </c>
      <c r="L129" s="309">
        <f t="shared" si="12"/>
        <v>0</v>
      </c>
      <c r="M129" s="41">
        <f>-E!B395</f>
        <v>0</v>
      </c>
      <c r="N129" s="316">
        <f t="shared" si="16"/>
        <v>0</v>
      </c>
      <c r="O129" s="231"/>
      <c r="P129" s="223">
        <f>+I129-K129</f>
        <v>0</v>
      </c>
      <c r="Q129" s="316" t="str">
        <f>IF(ISERROR(+(I129-K129)/K129)=TRUE,"",(I129-K129)/K129)</f>
        <v/>
      </c>
      <c r="R129" s="29"/>
      <c r="S129" s="29"/>
    </row>
    <row r="130" spans="1:19" ht="13.2" outlineLevel="1">
      <c r="A130" s="529" t="s">
        <v>181</v>
      </c>
      <c r="B130" s="530"/>
      <c r="C130" s="531" t="s">
        <v>182</v>
      </c>
      <c r="D130" s="531"/>
      <c r="E130" s="531"/>
      <c r="F130" s="531"/>
      <c r="G130" s="531"/>
      <c r="H130" s="531"/>
      <c r="I130" s="41">
        <f>-E!B97</f>
        <v>0</v>
      </c>
      <c r="J130" s="309">
        <f t="shared" si="8"/>
        <v>0</v>
      </c>
      <c r="K130" s="41">
        <f>-E!B249</f>
        <v>0</v>
      </c>
      <c r="L130" s="309">
        <f t="shared" si="12"/>
        <v>0</v>
      </c>
      <c r="M130" s="41">
        <f>-E!B396</f>
        <v>0</v>
      </c>
      <c r="N130" s="316">
        <f t="shared" si="16"/>
        <v>0</v>
      </c>
      <c r="O130" s="231"/>
      <c r="P130" s="223">
        <f t="shared" si="10"/>
        <v>0</v>
      </c>
      <c r="Q130" s="316" t="str">
        <f t="shared" si="15"/>
        <v/>
      </c>
      <c r="R130" s="29"/>
      <c r="S130" s="29"/>
    </row>
    <row r="131" spans="1:19" ht="13.2" outlineLevel="1">
      <c r="A131" s="529">
        <v>176</v>
      </c>
      <c r="B131" s="530"/>
      <c r="C131" s="531" t="s">
        <v>80</v>
      </c>
      <c r="D131" s="531"/>
      <c r="E131" s="531"/>
      <c r="F131" s="531"/>
      <c r="G131" s="531"/>
      <c r="H131" s="531"/>
      <c r="I131" s="41">
        <f>-E!B98</f>
        <v>0</v>
      </c>
      <c r="J131" s="309">
        <f t="shared" si="8"/>
        <v>0</v>
      </c>
      <c r="K131" s="41">
        <f>-E!B250</f>
        <v>0</v>
      </c>
      <c r="L131" s="309">
        <f t="shared" si="12"/>
        <v>0</v>
      </c>
      <c r="M131" s="41">
        <f>-E!B397</f>
        <v>0</v>
      </c>
      <c r="N131" s="316">
        <f t="shared" si="16"/>
        <v>0</v>
      </c>
      <c r="O131" s="231"/>
      <c r="P131" s="223">
        <f t="shared" si="10"/>
        <v>0</v>
      </c>
      <c r="Q131" s="316" t="str">
        <f t="shared" si="15"/>
        <v/>
      </c>
      <c r="R131" s="29"/>
      <c r="S131" s="29"/>
    </row>
    <row r="132" spans="1:19" ht="13.2" outlineLevel="1">
      <c r="A132" s="529" t="s">
        <v>183</v>
      </c>
      <c r="B132" s="530"/>
      <c r="C132" s="531" t="s">
        <v>184</v>
      </c>
      <c r="D132" s="531"/>
      <c r="E132" s="531"/>
      <c r="F132" s="531"/>
      <c r="G132" s="531"/>
      <c r="H132" s="531"/>
      <c r="I132" s="41">
        <f>-E!B99-E!B100</f>
        <v>0</v>
      </c>
      <c r="J132" s="309">
        <f t="shared" si="8"/>
        <v>0</v>
      </c>
      <c r="K132" s="41">
        <f>-E!B251-E!B252</f>
        <v>0</v>
      </c>
      <c r="L132" s="309">
        <f t="shared" si="12"/>
        <v>0</v>
      </c>
      <c r="M132" s="41">
        <f>-E!B398-E!B399</f>
        <v>0</v>
      </c>
      <c r="N132" s="316">
        <f t="shared" si="16"/>
        <v>0</v>
      </c>
      <c r="O132" s="231"/>
      <c r="P132" s="223">
        <f>+I132-K132</f>
        <v>0</v>
      </c>
      <c r="Q132" s="316" t="str">
        <f t="shared" si="15"/>
        <v/>
      </c>
      <c r="R132" s="29"/>
      <c r="S132" s="29"/>
    </row>
    <row r="133" spans="1:19" ht="13.2">
      <c r="A133" s="529" t="s">
        <v>185</v>
      </c>
      <c r="B133" s="530"/>
      <c r="C133" s="538" t="s">
        <v>186</v>
      </c>
      <c r="D133" s="538"/>
      <c r="E133" s="538"/>
      <c r="F133" s="538"/>
      <c r="G133" s="538"/>
      <c r="H133" s="538"/>
      <c r="I133" s="43">
        <v>0</v>
      </c>
      <c r="J133" s="311">
        <f t="shared" si="8"/>
        <v>0</v>
      </c>
      <c r="K133" s="43">
        <v>0</v>
      </c>
      <c r="L133" s="311">
        <f t="shared" si="12"/>
        <v>0</v>
      </c>
      <c r="M133" s="43">
        <f>-E!B400</f>
        <v>0</v>
      </c>
      <c r="N133" s="315">
        <f t="shared" si="16"/>
        <v>0</v>
      </c>
      <c r="O133" s="230"/>
      <c r="P133" s="224">
        <f t="shared" si="10"/>
        <v>0</v>
      </c>
      <c r="Q133" s="315" t="str">
        <f t="shared" si="15"/>
        <v/>
      </c>
      <c r="R133" s="29"/>
      <c r="S133" s="29"/>
    </row>
    <row r="134" spans="1:19" ht="13.2">
      <c r="A134" s="529">
        <v>479</v>
      </c>
      <c r="B134" s="530"/>
      <c r="C134" s="537" t="s">
        <v>187</v>
      </c>
      <c r="D134" s="537"/>
      <c r="E134" s="537"/>
      <c r="F134" s="537"/>
      <c r="G134" s="537"/>
      <c r="H134" s="537"/>
      <c r="I134" s="43">
        <v>1913.83</v>
      </c>
      <c r="J134" s="311">
        <f t="shared" si="8"/>
        <v>6.9158298699708849E-4</v>
      </c>
      <c r="K134" s="43">
        <v>2134.1799999999998</v>
      </c>
      <c r="L134" s="311">
        <f t="shared" si="12"/>
        <v>9.0912326439566754E-4</v>
      </c>
      <c r="M134" s="43">
        <v>5246.27</v>
      </c>
      <c r="N134" s="315">
        <f t="shared" si="16"/>
        <v>2.4787261262081408E-3</v>
      </c>
      <c r="O134" s="230"/>
      <c r="P134" s="224">
        <f t="shared" si="10"/>
        <v>-220.34999999999991</v>
      </c>
      <c r="Q134" s="315">
        <f t="shared" si="15"/>
        <v>-0.10324808591590209</v>
      </c>
      <c r="R134" s="29"/>
      <c r="S134" s="29"/>
    </row>
    <row r="135" spans="1:19" ht="13.2">
      <c r="A135" s="529">
        <v>181</v>
      </c>
      <c r="B135" s="530"/>
      <c r="C135" s="537" t="s">
        <v>188</v>
      </c>
      <c r="D135" s="537"/>
      <c r="E135" s="537"/>
      <c r="F135" s="537"/>
      <c r="G135" s="537"/>
      <c r="H135" s="537"/>
      <c r="I135" s="43">
        <f>-E!B103</f>
        <v>0</v>
      </c>
      <c r="J135" s="311">
        <f t="shared" si="8"/>
        <v>0</v>
      </c>
      <c r="K135" s="43">
        <f>-E!B255</f>
        <v>0</v>
      </c>
      <c r="L135" s="311">
        <f t="shared" si="12"/>
        <v>0</v>
      </c>
      <c r="M135" s="43">
        <f>-E!B402</f>
        <v>0</v>
      </c>
      <c r="N135" s="315">
        <f t="shared" si="16"/>
        <v>0</v>
      </c>
      <c r="O135" s="230"/>
      <c r="P135" s="224">
        <f t="shared" si="10"/>
        <v>0</v>
      </c>
      <c r="Q135" s="315" t="str">
        <f t="shared" si="15"/>
        <v/>
      </c>
      <c r="R135" s="29"/>
      <c r="S135" s="29"/>
    </row>
    <row r="136" spans="1:19" ht="13.2">
      <c r="A136" s="529"/>
      <c r="B136" s="530"/>
      <c r="C136" s="537" t="s">
        <v>189</v>
      </c>
      <c r="D136" s="537"/>
      <c r="E136" s="537"/>
      <c r="F136" s="537"/>
      <c r="G136" s="537"/>
      <c r="H136" s="537"/>
      <c r="I136" s="43">
        <f>-E!B104</f>
        <v>0</v>
      </c>
      <c r="J136" s="311">
        <f t="shared" si="8"/>
        <v>0</v>
      </c>
      <c r="K136" s="43">
        <f>-E!B256</f>
        <v>0</v>
      </c>
      <c r="L136" s="311">
        <f t="shared" si="12"/>
        <v>0</v>
      </c>
      <c r="M136" s="43">
        <f>-E!B403</f>
        <v>0</v>
      </c>
      <c r="N136" s="315">
        <f t="shared" si="16"/>
        <v>0</v>
      </c>
      <c r="O136" s="230"/>
      <c r="P136" s="224">
        <f t="shared" si="10"/>
        <v>0</v>
      </c>
      <c r="Q136" s="315" t="str">
        <f t="shared" si="15"/>
        <v/>
      </c>
      <c r="R136" s="29"/>
      <c r="S136" s="29"/>
    </row>
    <row r="137" spans="1:19" ht="13.2">
      <c r="A137" s="529" t="s">
        <v>190</v>
      </c>
      <c r="B137" s="530"/>
      <c r="C137" s="537" t="s">
        <v>191</v>
      </c>
      <c r="D137" s="537"/>
      <c r="E137" s="537"/>
      <c r="F137" s="537"/>
      <c r="G137" s="537"/>
      <c r="H137" s="537"/>
      <c r="I137" s="43">
        <f>-E!B100</f>
        <v>0</v>
      </c>
      <c r="J137" s="311">
        <f t="shared" si="8"/>
        <v>0</v>
      </c>
      <c r="K137" s="43">
        <f>-E!B252</f>
        <v>0</v>
      </c>
      <c r="L137" s="311">
        <f t="shared" si="12"/>
        <v>0</v>
      </c>
      <c r="M137" s="43">
        <f>-E!B399</f>
        <v>0</v>
      </c>
      <c r="N137" s="315">
        <f t="shared" si="16"/>
        <v>0</v>
      </c>
      <c r="O137" s="230"/>
      <c r="P137" s="224">
        <f t="shared" si="10"/>
        <v>0</v>
      </c>
      <c r="Q137" s="315" t="str">
        <f t="shared" si="15"/>
        <v/>
      </c>
      <c r="R137" s="29"/>
      <c r="S137" s="29"/>
    </row>
    <row r="138" spans="1:19" ht="15.6">
      <c r="A138" s="539"/>
      <c r="B138" s="540"/>
      <c r="C138" s="525" t="s">
        <v>192</v>
      </c>
      <c r="D138" s="525"/>
      <c r="E138" s="525"/>
      <c r="F138" s="525"/>
      <c r="G138" s="525"/>
      <c r="H138" s="525"/>
      <c r="I138" s="301">
        <f>+I139+I140+I143+I149+I150+I158+I159</f>
        <v>774344.75</v>
      </c>
      <c r="J138" s="307">
        <f t="shared" si="8"/>
        <v>0.27981777648511819</v>
      </c>
      <c r="K138" s="301">
        <f>+K139+K140+K143+K149+K150+K158+K159</f>
        <v>379682.46</v>
      </c>
      <c r="L138" s="307">
        <f t="shared" si="12"/>
        <v>0.16173807151645012</v>
      </c>
      <c r="M138" s="301">
        <f>+M139+M140+M143+M149+M150+M158+M159</f>
        <v>274366.02999999997</v>
      </c>
      <c r="N138" s="314">
        <f t="shared" si="16"/>
        <v>0.12963081326447293</v>
      </c>
      <c r="O138" s="229"/>
      <c r="P138" s="304">
        <f t="shared" si="10"/>
        <v>394662.29</v>
      </c>
      <c r="Q138" s="314">
        <f t="shared" si="15"/>
        <v>1.0394535739154238</v>
      </c>
      <c r="R138" s="29"/>
      <c r="S138" s="29"/>
    </row>
    <row r="139" spans="1:19" ht="13.2">
      <c r="A139" s="529" t="s">
        <v>193</v>
      </c>
      <c r="B139" s="530"/>
      <c r="C139" s="538" t="s">
        <v>1363</v>
      </c>
      <c r="D139" s="538"/>
      <c r="E139" s="538"/>
      <c r="F139" s="538"/>
      <c r="G139" s="538"/>
      <c r="H139" s="538"/>
      <c r="I139" s="40">
        <v>21045.47</v>
      </c>
      <c r="J139" s="308">
        <f t="shared" si="8"/>
        <v>7.6050061945719402E-3</v>
      </c>
      <c r="K139" s="40">
        <v>36003.83</v>
      </c>
      <c r="L139" s="308">
        <f t="shared" si="12"/>
        <v>1.5337000375013669E-2</v>
      </c>
      <c r="M139" s="40">
        <v>39510.82</v>
      </c>
      <c r="N139" s="318">
        <f t="shared" si="16"/>
        <v>1.8667834823962001E-2</v>
      </c>
      <c r="O139" s="230"/>
      <c r="P139" s="226">
        <f t="shared" si="10"/>
        <v>-14958.36</v>
      </c>
      <c r="Q139" s="318">
        <f t="shared" si="15"/>
        <v>-0.41546579905526715</v>
      </c>
      <c r="R139" s="29"/>
      <c r="S139" s="29"/>
    </row>
    <row r="140" spans="1:19" ht="13.2">
      <c r="A140" s="529"/>
      <c r="B140" s="530"/>
      <c r="C140" s="537" t="s">
        <v>195</v>
      </c>
      <c r="D140" s="537"/>
      <c r="E140" s="537"/>
      <c r="F140" s="537"/>
      <c r="G140" s="537"/>
      <c r="H140" s="537"/>
      <c r="I140" s="43">
        <f>SUM(I141:I142)</f>
        <v>0</v>
      </c>
      <c r="J140" s="311">
        <f t="shared" si="8"/>
        <v>0</v>
      </c>
      <c r="K140" s="43">
        <f>SUM(K141:K142)</f>
        <v>0</v>
      </c>
      <c r="L140" s="311">
        <f t="shared" si="12"/>
        <v>0</v>
      </c>
      <c r="M140" s="43">
        <f>SUM(M141:M142)</f>
        <v>0</v>
      </c>
      <c r="N140" s="315">
        <f t="shared" si="16"/>
        <v>0</v>
      </c>
      <c r="O140" s="230"/>
      <c r="P140" s="224">
        <f t="shared" si="10"/>
        <v>0</v>
      </c>
      <c r="Q140" s="315" t="str">
        <f t="shared" si="15"/>
        <v/>
      </c>
      <c r="R140" s="29"/>
      <c r="S140" s="29"/>
    </row>
    <row r="141" spans="1:19" ht="13.2">
      <c r="A141" s="529"/>
      <c r="B141" s="530"/>
      <c r="C141" s="531" t="s">
        <v>1323</v>
      </c>
      <c r="D141" s="531"/>
      <c r="E141" s="531"/>
      <c r="F141" s="531"/>
      <c r="G141" s="531"/>
      <c r="H141" s="531"/>
      <c r="I141" s="41">
        <f>-E!B106</f>
        <v>0</v>
      </c>
      <c r="J141" s="309">
        <f t="shared" si="8"/>
        <v>0</v>
      </c>
      <c r="K141" s="41">
        <f>-E!B514</f>
        <v>0</v>
      </c>
      <c r="L141" s="309">
        <f t="shared" si="12"/>
        <v>0</v>
      </c>
      <c r="M141" s="41">
        <f>-E!B528</f>
        <v>0</v>
      </c>
      <c r="N141" s="316">
        <f t="shared" si="16"/>
        <v>0</v>
      </c>
      <c r="O141" s="231"/>
      <c r="P141" s="223">
        <f t="shared" ref="P141:P142" si="17">+I141-K141</f>
        <v>0</v>
      </c>
      <c r="Q141" s="316" t="str">
        <f t="shared" ref="Q141:Q142" si="18">IF(ISERROR(+(I141-K141)/K141)=TRUE,"",(I141-K141)/K141)</f>
        <v/>
      </c>
      <c r="R141" s="29"/>
      <c r="S141" s="29"/>
    </row>
    <row r="142" spans="1:19" ht="13.2">
      <c r="A142" s="529" t="s">
        <v>194</v>
      </c>
      <c r="B142" s="530"/>
      <c r="C142" s="531" t="s">
        <v>1324</v>
      </c>
      <c r="D142" s="531"/>
      <c r="E142" s="531"/>
      <c r="F142" s="531"/>
      <c r="G142" s="531"/>
      <c r="H142" s="531"/>
      <c r="I142" s="41">
        <v>0</v>
      </c>
      <c r="J142" s="309">
        <f t="shared" si="8"/>
        <v>0</v>
      </c>
      <c r="K142" s="41">
        <f>-E!B258</f>
        <v>0</v>
      </c>
      <c r="L142" s="309">
        <f t="shared" si="12"/>
        <v>0</v>
      </c>
      <c r="M142" s="41">
        <f>-E!B405</f>
        <v>0</v>
      </c>
      <c r="N142" s="316">
        <f t="shared" si="16"/>
        <v>0</v>
      </c>
      <c r="O142" s="231"/>
      <c r="P142" s="223">
        <f t="shared" si="17"/>
        <v>0</v>
      </c>
      <c r="Q142" s="316" t="str">
        <f t="shared" si="18"/>
        <v/>
      </c>
      <c r="R142" s="29"/>
      <c r="S142" s="29"/>
    </row>
    <row r="143" spans="1:19" ht="13.2">
      <c r="A143" s="529"/>
      <c r="B143" s="530"/>
      <c r="C143" s="537" t="s">
        <v>196</v>
      </c>
      <c r="D143" s="537"/>
      <c r="E143" s="537"/>
      <c r="F143" s="537"/>
      <c r="G143" s="537"/>
      <c r="H143" s="537"/>
      <c r="I143" s="43">
        <f>SUM(I144:I148)</f>
        <v>0</v>
      </c>
      <c r="J143" s="311">
        <f t="shared" si="8"/>
        <v>0</v>
      </c>
      <c r="K143" s="43">
        <f>SUM(K144:K148)</f>
        <v>0</v>
      </c>
      <c r="L143" s="311">
        <f t="shared" si="12"/>
        <v>0</v>
      </c>
      <c r="M143" s="43">
        <f>SUM(M144:M148)</f>
        <v>0</v>
      </c>
      <c r="N143" s="315">
        <f t="shared" si="16"/>
        <v>0</v>
      </c>
      <c r="O143" s="230"/>
      <c r="P143" s="224">
        <f t="shared" si="10"/>
        <v>0</v>
      </c>
      <c r="Q143" s="315" t="str">
        <f t="shared" si="15"/>
        <v/>
      </c>
      <c r="R143" s="29"/>
      <c r="S143" s="29"/>
    </row>
    <row r="144" spans="1:19" ht="13.2" outlineLevel="1">
      <c r="A144" s="529" t="s">
        <v>197</v>
      </c>
      <c r="B144" s="530"/>
      <c r="C144" s="531" t="s">
        <v>178</v>
      </c>
      <c r="D144" s="531"/>
      <c r="E144" s="531"/>
      <c r="F144" s="531"/>
      <c r="G144" s="531"/>
      <c r="H144" s="531"/>
      <c r="I144" s="41">
        <f>-E!B108</f>
        <v>0</v>
      </c>
      <c r="J144" s="309">
        <f t="shared" si="8"/>
        <v>0</v>
      </c>
      <c r="K144" s="41">
        <f>-E!B259</f>
        <v>0</v>
      </c>
      <c r="L144" s="309">
        <f t="shared" si="12"/>
        <v>0</v>
      </c>
      <c r="M144" s="41">
        <f>-E!B406</f>
        <v>0</v>
      </c>
      <c r="N144" s="316">
        <f t="shared" si="16"/>
        <v>0</v>
      </c>
      <c r="O144" s="231"/>
      <c r="P144" s="223">
        <f t="shared" si="10"/>
        <v>0</v>
      </c>
      <c r="Q144" s="316" t="str">
        <f t="shared" si="15"/>
        <v/>
      </c>
      <c r="R144" s="29"/>
      <c r="S144" s="29"/>
    </row>
    <row r="145" spans="1:19" ht="13.2" outlineLevel="1">
      <c r="A145" s="529" t="s">
        <v>198</v>
      </c>
      <c r="B145" s="530"/>
      <c r="C145" s="531" t="s">
        <v>180</v>
      </c>
      <c r="D145" s="531"/>
      <c r="E145" s="531"/>
      <c r="F145" s="531"/>
      <c r="G145" s="531"/>
      <c r="H145" s="531"/>
      <c r="I145" s="41">
        <v>0</v>
      </c>
      <c r="J145" s="309">
        <f t="shared" si="8"/>
        <v>0</v>
      </c>
      <c r="K145" s="41">
        <v>0</v>
      </c>
      <c r="L145" s="309">
        <f t="shared" si="12"/>
        <v>0</v>
      </c>
      <c r="M145" s="41">
        <f>-E!B407</f>
        <v>0</v>
      </c>
      <c r="N145" s="316">
        <f t="shared" si="16"/>
        <v>0</v>
      </c>
      <c r="O145" s="231"/>
      <c r="P145" s="223">
        <f t="shared" si="10"/>
        <v>0</v>
      </c>
      <c r="Q145" s="316" t="str">
        <f t="shared" si="15"/>
        <v/>
      </c>
      <c r="R145" s="29"/>
      <c r="S145" s="29"/>
    </row>
    <row r="146" spans="1:19" ht="13.2" outlineLevel="1">
      <c r="A146" s="529" t="s">
        <v>199</v>
      </c>
      <c r="B146" s="530"/>
      <c r="C146" s="531" t="s">
        <v>200</v>
      </c>
      <c r="D146" s="531"/>
      <c r="E146" s="531"/>
      <c r="F146" s="531"/>
      <c r="G146" s="531"/>
      <c r="H146" s="531"/>
      <c r="I146" s="41">
        <f>-E!B110</f>
        <v>0</v>
      </c>
      <c r="J146" s="309">
        <f t="shared" si="8"/>
        <v>0</v>
      </c>
      <c r="K146" s="41">
        <f>-E!B261</f>
        <v>0</v>
      </c>
      <c r="L146" s="309">
        <f t="shared" si="12"/>
        <v>0</v>
      </c>
      <c r="M146" s="41">
        <f>-E!B408</f>
        <v>0</v>
      </c>
      <c r="N146" s="316">
        <f t="shared" si="16"/>
        <v>0</v>
      </c>
      <c r="O146" s="231"/>
      <c r="P146" s="223">
        <f t="shared" si="10"/>
        <v>0</v>
      </c>
      <c r="Q146" s="316" t="str">
        <f t="shared" si="15"/>
        <v/>
      </c>
      <c r="R146" s="29"/>
      <c r="S146" s="29"/>
    </row>
    <row r="147" spans="1:19" ht="13.2" outlineLevel="1">
      <c r="A147" s="529" t="s">
        <v>201</v>
      </c>
      <c r="B147" s="530"/>
      <c r="C147" s="531" t="s">
        <v>202</v>
      </c>
      <c r="D147" s="531"/>
      <c r="E147" s="531"/>
      <c r="F147" s="531"/>
      <c r="G147" s="531"/>
      <c r="H147" s="531"/>
      <c r="I147" s="41">
        <f>-E!B111</f>
        <v>0</v>
      </c>
      <c r="J147" s="309">
        <f t="shared" si="8"/>
        <v>0</v>
      </c>
      <c r="K147" s="41">
        <f>-E!B262</f>
        <v>0</v>
      </c>
      <c r="L147" s="309">
        <f t="shared" si="12"/>
        <v>0</v>
      </c>
      <c r="M147" s="41">
        <f>-E!B409</f>
        <v>0</v>
      </c>
      <c r="N147" s="316">
        <f t="shared" si="16"/>
        <v>0</v>
      </c>
      <c r="O147" s="231"/>
      <c r="P147" s="223">
        <f t="shared" si="10"/>
        <v>0</v>
      </c>
      <c r="Q147" s="316" t="str">
        <f t="shared" si="15"/>
        <v/>
      </c>
      <c r="R147" s="29"/>
      <c r="S147" s="29"/>
    </row>
    <row r="148" spans="1:19" ht="13.2" outlineLevel="1">
      <c r="A148" s="529" t="s">
        <v>203</v>
      </c>
      <c r="B148" s="530"/>
      <c r="C148" s="531" t="s">
        <v>184</v>
      </c>
      <c r="D148" s="531"/>
      <c r="E148" s="531"/>
      <c r="F148" s="531"/>
      <c r="G148" s="531"/>
      <c r="H148" s="531"/>
      <c r="I148" s="41">
        <v>0</v>
      </c>
      <c r="J148" s="309">
        <f t="shared" si="8"/>
        <v>0</v>
      </c>
      <c r="K148" s="41">
        <v>0</v>
      </c>
      <c r="L148" s="309">
        <f t="shared" si="12"/>
        <v>0</v>
      </c>
      <c r="M148" s="41">
        <f>-E!B410-E!B411</f>
        <v>0</v>
      </c>
      <c r="N148" s="316">
        <f t="shared" si="16"/>
        <v>0</v>
      </c>
      <c r="O148" s="231"/>
      <c r="P148" s="223">
        <f t="shared" si="10"/>
        <v>0</v>
      </c>
      <c r="Q148" s="316" t="str">
        <f t="shared" si="15"/>
        <v/>
      </c>
      <c r="R148" s="29"/>
      <c r="S148" s="29"/>
    </row>
    <row r="149" spans="1:19" ht="13.2">
      <c r="A149" s="529" t="s">
        <v>204</v>
      </c>
      <c r="B149" s="530"/>
      <c r="C149" s="538" t="s">
        <v>205</v>
      </c>
      <c r="D149" s="538"/>
      <c r="E149" s="538"/>
      <c r="F149" s="538"/>
      <c r="G149" s="538"/>
      <c r="H149" s="538"/>
      <c r="I149" s="43">
        <v>0</v>
      </c>
      <c r="J149" s="311">
        <f t="shared" si="8"/>
        <v>0</v>
      </c>
      <c r="K149" s="43">
        <v>0</v>
      </c>
      <c r="L149" s="311">
        <f t="shared" si="12"/>
        <v>0</v>
      </c>
      <c r="M149" s="43">
        <f>-E!B412</f>
        <v>0</v>
      </c>
      <c r="N149" s="315">
        <f t="shared" si="16"/>
        <v>0</v>
      </c>
      <c r="O149" s="230"/>
      <c r="P149" s="224">
        <f t="shared" si="10"/>
        <v>0</v>
      </c>
      <c r="Q149" s="315" t="str">
        <f t="shared" si="15"/>
        <v/>
      </c>
      <c r="R149" s="29"/>
      <c r="S149" s="29"/>
    </row>
    <row r="150" spans="1:19" ht="13.2">
      <c r="A150" s="529"/>
      <c r="B150" s="530"/>
      <c r="C150" s="538" t="s">
        <v>206</v>
      </c>
      <c r="D150" s="538"/>
      <c r="E150" s="538"/>
      <c r="F150" s="538"/>
      <c r="G150" s="538"/>
      <c r="H150" s="538"/>
      <c r="I150" s="43">
        <f>SUM(I151:I157)</f>
        <v>402592.57999999996</v>
      </c>
      <c r="J150" s="311">
        <f t="shared" si="8"/>
        <v>0.14548114462583631</v>
      </c>
      <c r="K150" s="43">
        <f>SUM(K151:K157)</f>
        <v>343678.63</v>
      </c>
      <c r="L150" s="311">
        <f t="shared" si="12"/>
        <v>0.14640107114143644</v>
      </c>
      <c r="M150" s="43">
        <f>SUM(M151:M157)</f>
        <v>234855.21</v>
      </c>
      <c r="N150" s="315">
        <f t="shared" si="16"/>
        <v>0.11096297844051095</v>
      </c>
      <c r="O150" s="230"/>
      <c r="P150" s="224">
        <f t="shared" si="10"/>
        <v>58913.949999999953</v>
      </c>
      <c r="Q150" s="315">
        <f t="shared" si="15"/>
        <v>0.17142162723355814</v>
      </c>
      <c r="R150" s="29"/>
      <c r="S150" s="29"/>
    </row>
    <row r="151" spans="1:19" ht="13.2" outlineLevel="1">
      <c r="A151" s="529" t="s">
        <v>207</v>
      </c>
      <c r="B151" s="530"/>
      <c r="C151" s="531" t="s">
        <v>208</v>
      </c>
      <c r="D151" s="531"/>
      <c r="E151" s="531"/>
      <c r="F151" s="531"/>
      <c r="G151" s="531"/>
      <c r="H151" s="531"/>
      <c r="I151" s="41">
        <v>75554.28</v>
      </c>
      <c r="J151" s="309">
        <f t="shared" si="8"/>
        <v>2.7302349029336138E-2</v>
      </c>
      <c r="K151" s="41">
        <v>154605.79</v>
      </c>
      <c r="L151" s="309">
        <f t="shared" si="12"/>
        <v>6.5859356052100138E-2</v>
      </c>
      <c r="M151" s="41">
        <v>112379.43</v>
      </c>
      <c r="N151" s="316">
        <f t="shared" si="16"/>
        <v>5.3096357829349024E-2</v>
      </c>
      <c r="O151" s="231"/>
      <c r="P151" s="223">
        <f t="shared" si="10"/>
        <v>-79051.510000000009</v>
      </c>
      <c r="Q151" s="316">
        <f t="shared" si="15"/>
        <v>-0.51131015209714981</v>
      </c>
      <c r="R151" s="29"/>
      <c r="S151" s="29"/>
    </row>
    <row r="152" spans="1:19" ht="13.2" outlineLevel="1">
      <c r="A152" s="529" t="s">
        <v>209</v>
      </c>
      <c r="B152" s="530"/>
      <c r="C152" s="531" t="s">
        <v>210</v>
      </c>
      <c r="D152" s="531"/>
      <c r="E152" s="531"/>
      <c r="F152" s="531"/>
      <c r="G152" s="531"/>
      <c r="H152" s="531"/>
      <c r="I152" s="41">
        <v>281022.2</v>
      </c>
      <c r="J152" s="309">
        <f t="shared" si="8"/>
        <v>0.10155038456314992</v>
      </c>
      <c r="K152" s="41">
        <v>143958.04999999999</v>
      </c>
      <c r="L152" s="309">
        <f t="shared" si="12"/>
        <v>6.1323605484089778E-2</v>
      </c>
      <c r="M152" s="41">
        <v>69234.31</v>
      </c>
      <c r="N152" s="316">
        <f t="shared" si="16"/>
        <v>3.2711410778895014E-2</v>
      </c>
      <c r="O152" s="231"/>
      <c r="P152" s="223">
        <f t="shared" si="10"/>
        <v>137064.15000000002</v>
      </c>
      <c r="Q152" s="316">
        <f t="shared" si="15"/>
        <v>0.95211174366421358</v>
      </c>
      <c r="R152" s="29"/>
      <c r="S152" s="29"/>
    </row>
    <row r="153" spans="1:19" ht="13.2" outlineLevel="1">
      <c r="A153" s="529">
        <v>41</v>
      </c>
      <c r="B153" s="530"/>
      <c r="C153" s="531" t="s">
        <v>211</v>
      </c>
      <c r="D153" s="531"/>
      <c r="E153" s="531"/>
      <c r="F153" s="531"/>
      <c r="G153" s="531"/>
      <c r="H153" s="531"/>
      <c r="I153" s="41">
        <v>24616.16</v>
      </c>
      <c r="J153" s="309">
        <f t="shared" si="8"/>
        <v>8.8953133043155608E-3</v>
      </c>
      <c r="K153" s="41">
        <v>15344.96</v>
      </c>
      <c r="L153" s="309">
        <f t="shared" si="12"/>
        <v>6.5366839381968455E-3</v>
      </c>
      <c r="M153" s="41">
        <v>39503.54</v>
      </c>
      <c r="N153" s="316">
        <f t="shared" si="16"/>
        <v>1.8664395213305516E-2</v>
      </c>
      <c r="O153" s="231"/>
      <c r="P153" s="223">
        <f t="shared" si="10"/>
        <v>9271.2000000000007</v>
      </c>
      <c r="Q153" s="316">
        <f t="shared" si="15"/>
        <v>0.6041853481534003</v>
      </c>
      <c r="R153" s="29"/>
      <c r="S153" s="29"/>
    </row>
    <row r="154" spans="1:19" ht="13.2" outlineLevel="1">
      <c r="A154" s="529" t="s">
        <v>212</v>
      </c>
      <c r="B154" s="530"/>
      <c r="C154" s="542" t="s">
        <v>213</v>
      </c>
      <c r="D154" s="542"/>
      <c r="E154" s="542"/>
      <c r="F154" s="542"/>
      <c r="G154" s="542"/>
      <c r="H154" s="542"/>
      <c r="I154" s="41">
        <v>12573.53</v>
      </c>
      <c r="J154" s="310">
        <f t="shared" si="8"/>
        <v>4.5435798553149984E-3</v>
      </c>
      <c r="K154" s="41">
        <v>5830.4</v>
      </c>
      <c r="L154" s="309">
        <f t="shared" si="12"/>
        <v>2.4836481837204453E-3</v>
      </c>
      <c r="M154" s="41">
        <v>5571.29</v>
      </c>
      <c r="N154" s="316">
        <f t="shared" si="16"/>
        <v>2.6322896228524557E-3</v>
      </c>
      <c r="O154" s="231"/>
      <c r="P154" s="223">
        <f t="shared" si="10"/>
        <v>6743.130000000001</v>
      </c>
      <c r="Q154" s="316">
        <f t="shared" si="15"/>
        <v>1.1565467206366633</v>
      </c>
      <c r="R154" s="29"/>
      <c r="S154" s="29"/>
    </row>
    <row r="155" spans="1:19" ht="13.2" outlineLevel="1">
      <c r="A155" s="529">
        <v>4752</v>
      </c>
      <c r="B155" s="530"/>
      <c r="C155" s="531" t="s">
        <v>214</v>
      </c>
      <c r="D155" s="531"/>
      <c r="E155" s="531"/>
      <c r="F155" s="531"/>
      <c r="G155" s="531"/>
      <c r="H155" s="531"/>
      <c r="I155" s="41">
        <v>0</v>
      </c>
      <c r="J155" s="309">
        <f t="shared" si="8"/>
        <v>0</v>
      </c>
      <c r="K155" s="41">
        <v>0</v>
      </c>
      <c r="L155" s="309">
        <f t="shared" si="12"/>
        <v>0</v>
      </c>
      <c r="M155" s="41">
        <f>-E!B417</f>
        <v>0</v>
      </c>
      <c r="N155" s="316">
        <f t="shared" si="16"/>
        <v>0</v>
      </c>
      <c r="O155" s="231"/>
      <c r="P155" s="223">
        <f t="shared" si="10"/>
        <v>0</v>
      </c>
      <c r="Q155" s="316" t="str">
        <f t="shared" si="15"/>
        <v/>
      </c>
      <c r="R155" s="29"/>
      <c r="S155" s="29"/>
    </row>
    <row r="156" spans="1:19" ht="13.2" outlineLevel="1">
      <c r="A156" s="529" t="s">
        <v>215</v>
      </c>
      <c r="B156" s="530"/>
      <c r="C156" s="531" t="s">
        <v>216</v>
      </c>
      <c r="D156" s="531"/>
      <c r="E156" s="531"/>
      <c r="F156" s="531"/>
      <c r="G156" s="531"/>
      <c r="H156" s="531"/>
      <c r="I156" s="41">
        <v>8711.6</v>
      </c>
      <c r="J156" s="309">
        <f t="shared" si="8"/>
        <v>3.1480300494421327E-3</v>
      </c>
      <c r="K156" s="41">
        <v>23824.62</v>
      </c>
      <c r="L156" s="309">
        <f t="shared" si="12"/>
        <v>1.0148870436132992E-2</v>
      </c>
      <c r="M156" s="41">
        <v>8051.83</v>
      </c>
      <c r="N156" s="316">
        <f t="shared" si="16"/>
        <v>3.804280257170617E-3</v>
      </c>
      <c r="O156" s="231"/>
      <c r="P156" s="223">
        <f t="shared" si="10"/>
        <v>-15113.019999999999</v>
      </c>
      <c r="Q156" s="316">
        <f t="shared" si="15"/>
        <v>-0.63434464012437553</v>
      </c>
      <c r="R156" s="29"/>
      <c r="S156" s="29"/>
    </row>
    <row r="157" spans="1:19" ht="13.2" outlineLevel="1">
      <c r="A157" s="529">
        <v>438</v>
      </c>
      <c r="B157" s="530"/>
      <c r="C157" s="531" t="s">
        <v>217</v>
      </c>
      <c r="D157" s="531"/>
      <c r="E157" s="531"/>
      <c r="F157" s="531"/>
      <c r="G157" s="531"/>
      <c r="H157" s="531"/>
      <c r="I157" s="41">
        <v>114.81</v>
      </c>
      <c r="J157" s="309">
        <f t="shared" si="8"/>
        <v>4.1487824277566834E-5</v>
      </c>
      <c r="K157" s="41">
        <v>114.81</v>
      </c>
      <c r="L157" s="309">
        <f t="shared" si="12"/>
        <v>4.8907047196237713E-5</v>
      </c>
      <c r="M157" s="41">
        <v>114.81</v>
      </c>
      <c r="N157" s="316">
        <f t="shared" si="16"/>
        <v>5.424473893832316E-5</v>
      </c>
      <c r="O157" s="231"/>
      <c r="P157" s="223">
        <f t="shared" si="10"/>
        <v>0</v>
      </c>
      <c r="Q157" s="316">
        <f t="shared" si="15"/>
        <v>0</v>
      </c>
      <c r="R157" s="29"/>
      <c r="S157" s="29"/>
    </row>
    <row r="158" spans="1:19" ht="13.2">
      <c r="A158" s="529" t="s">
        <v>218</v>
      </c>
      <c r="B158" s="530"/>
      <c r="C158" s="537" t="s">
        <v>219</v>
      </c>
      <c r="D158" s="537"/>
      <c r="E158" s="537"/>
      <c r="F158" s="537"/>
      <c r="G158" s="537"/>
      <c r="H158" s="537"/>
      <c r="I158" s="43">
        <v>350706.7</v>
      </c>
      <c r="J158" s="311">
        <f t="shared" si="8"/>
        <v>0.12673162566470994</v>
      </c>
      <c r="K158" s="43">
        <f>-E!B273</f>
        <v>0</v>
      </c>
      <c r="L158" s="311">
        <f t="shared" si="12"/>
        <v>0</v>
      </c>
      <c r="M158" s="43">
        <f>-E!B420</f>
        <v>0</v>
      </c>
      <c r="N158" s="315">
        <f t="shared" si="16"/>
        <v>0</v>
      </c>
      <c r="O158" s="230"/>
      <c r="P158" s="224">
        <f t="shared" si="10"/>
        <v>350706.7</v>
      </c>
      <c r="Q158" s="315" t="str">
        <f t="shared" si="15"/>
        <v/>
      </c>
      <c r="R158" s="29"/>
      <c r="S158" s="29"/>
    </row>
    <row r="159" spans="1:19" ht="13.8" thickBot="1">
      <c r="A159" s="529" t="s">
        <v>220</v>
      </c>
      <c r="B159" s="530"/>
      <c r="C159" s="543" t="s">
        <v>221</v>
      </c>
      <c r="D159" s="543"/>
      <c r="E159" s="543"/>
      <c r="F159" s="543"/>
      <c r="G159" s="543"/>
      <c r="H159" s="543"/>
      <c r="I159" s="43">
        <f>-E!B123</f>
        <v>0</v>
      </c>
      <c r="J159" s="311">
        <f t="shared" si="8"/>
        <v>0</v>
      </c>
      <c r="K159" s="43">
        <f>-E!B274</f>
        <v>0</v>
      </c>
      <c r="L159" s="311">
        <f t="shared" si="12"/>
        <v>0</v>
      </c>
      <c r="M159" s="43">
        <f>-E!B421</f>
        <v>0</v>
      </c>
      <c r="N159" s="315">
        <f t="shared" si="16"/>
        <v>0</v>
      </c>
      <c r="O159" s="230"/>
      <c r="P159" s="224">
        <f t="shared" si="10"/>
        <v>0</v>
      </c>
      <c r="Q159" s="315" t="str">
        <f t="shared" si="15"/>
        <v/>
      </c>
      <c r="R159" s="29"/>
      <c r="S159" s="29"/>
    </row>
    <row r="160" spans="1:19" ht="18" thickBot="1">
      <c r="A160" s="49" t="s">
        <v>222</v>
      </c>
      <c r="B160" s="50"/>
      <c r="C160" s="51"/>
      <c r="D160" s="51"/>
      <c r="E160" s="52">
        <f>+E138+E121+E93</f>
        <v>0</v>
      </c>
      <c r="F160" s="52">
        <f>+F138+F121+F93</f>
        <v>0</v>
      </c>
      <c r="G160" s="52">
        <f>+G138+G121+G93</f>
        <v>0</v>
      </c>
      <c r="H160" s="51"/>
      <c r="I160" s="44">
        <f>+I138+I121+I93</f>
        <v>2767317.93</v>
      </c>
      <c r="J160" s="312">
        <f t="shared" si="8"/>
        <v>1</v>
      </c>
      <c r="K160" s="44">
        <f>+K138+K121+K93+0.03</f>
        <v>2347514.4499999997</v>
      </c>
      <c r="L160" s="312">
        <f t="shared" si="12"/>
        <v>1</v>
      </c>
      <c r="M160" s="44">
        <f>+M138+M121+M93</f>
        <v>2116518.62</v>
      </c>
      <c r="N160" s="319">
        <f t="shared" si="16"/>
        <v>1</v>
      </c>
      <c r="O160" s="229"/>
      <c r="P160" s="227">
        <f t="shared" si="10"/>
        <v>419803.48000000045</v>
      </c>
      <c r="Q160" s="319">
        <f t="shared" si="15"/>
        <v>0.17882892265050829</v>
      </c>
      <c r="R160" s="29"/>
      <c r="S160" s="29"/>
    </row>
    <row r="161" spans="1:25" ht="13.2">
      <c r="A161" s="6"/>
      <c r="B161" s="6"/>
      <c r="C161" s="53"/>
      <c r="D161" s="53"/>
      <c r="E161" s="53"/>
      <c r="F161" s="53"/>
      <c r="G161" s="53"/>
      <c r="H161" s="320" t="s">
        <v>939</v>
      </c>
      <c r="I161" s="321">
        <f>+I89-I160</f>
        <v>0</v>
      </c>
      <c r="J161" s="320"/>
      <c r="K161" s="321">
        <f>+K89-K160</f>
        <v>0</v>
      </c>
      <c r="L161" s="320"/>
      <c r="M161" s="321">
        <f>+M89-M160</f>
        <v>24077.049999999814</v>
      </c>
      <c r="N161" s="53"/>
      <c r="O161" s="54"/>
      <c r="P161" s="53"/>
      <c r="Q161" s="53"/>
      <c r="R161" s="53"/>
      <c r="S161" s="54"/>
      <c r="T161" s="55"/>
      <c r="U161" s="45"/>
      <c r="V161" s="45"/>
      <c r="W161" s="45"/>
      <c r="X161" s="45"/>
      <c r="Y161" s="56"/>
    </row>
    <row r="162" spans="1:25" ht="15.6">
      <c r="A162" s="471" t="s">
        <v>38</v>
      </c>
      <c r="B162" s="471"/>
      <c r="C162" s="471"/>
      <c r="D162" s="471"/>
      <c r="E162" s="471"/>
      <c r="F162" s="471"/>
      <c r="G162" s="471"/>
      <c r="H162" s="471"/>
      <c r="I162" s="471"/>
      <c r="J162" s="471"/>
      <c r="K162" s="471"/>
      <c r="L162" s="3"/>
      <c r="M162" s="3"/>
      <c r="N162" s="3"/>
      <c r="O162" s="221"/>
      <c r="P162" s="3"/>
      <c r="Q162" s="57"/>
      <c r="R162" s="57"/>
      <c r="S162" s="57"/>
      <c r="T162" s="57"/>
      <c r="U162" s="58"/>
      <c r="V162" s="58"/>
      <c r="W162" s="58"/>
      <c r="X162" s="58"/>
      <c r="Y162" s="58"/>
    </row>
    <row r="163" spans="1:25">
      <c r="A163" s="29" t="s">
        <v>1156</v>
      </c>
    </row>
    <row r="164" spans="1:25">
      <c r="A164" s="541" t="s">
        <v>938</v>
      </c>
      <c r="B164" s="541"/>
      <c r="C164" s="541"/>
      <c r="D164" s="541"/>
      <c r="E164" s="541"/>
      <c r="F164" s="541"/>
      <c r="G164" s="541"/>
      <c r="H164" s="541"/>
      <c r="I164" s="541"/>
      <c r="J164" s="541"/>
      <c r="K164" s="541"/>
      <c r="L164" s="59"/>
      <c r="M164" s="59"/>
      <c r="N164" s="59"/>
      <c r="O164" s="59"/>
      <c r="P164" s="59"/>
    </row>
    <row r="165" spans="1:25">
      <c r="A165" s="541"/>
      <c r="B165" s="541"/>
      <c r="C165" s="541"/>
      <c r="D165" s="541"/>
      <c r="E165" s="541"/>
      <c r="F165" s="541"/>
      <c r="G165" s="541"/>
      <c r="H165" s="541"/>
      <c r="I165" s="541"/>
      <c r="J165" s="541"/>
      <c r="K165" s="541"/>
      <c r="L165" s="59"/>
      <c r="M165" s="59"/>
      <c r="N165" s="59"/>
      <c r="O165" s="59"/>
      <c r="P165" s="59"/>
    </row>
  </sheetData>
  <mergeCells count="282">
    <mergeCell ref="A162:K162"/>
    <mergeCell ref="A3:M3"/>
    <mergeCell ref="A155:B155"/>
    <mergeCell ref="C155:H155"/>
    <mergeCell ref="A164:K165"/>
    <mergeCell ref="A156:B156"/>
    <mergeCell ref="C156:H156"/>
    <mergeCell ref="A157:B157"/>
    <mergeCell ref="C157:H157"/>
    <mergeCell ref="A158:B158"/>
    <mergeCell ref="A151:B151"/>
    <mergeCell ref="C151:H151"/>
    <mergeCell ref="C158:H158"/>
    <mergeCell ref="A159:B159"/>
    <mergeCell ref="A152:B152"/>
    <mergeCell ref="C152:H152"/>
    <mergeCell ref="A153:B153"/>
    <mergeCell ref="C153:H153"/>
    <mergeCell ref="A154:B154"/>
    <mergeCell ref="C154:H154"/>
    <mergeCell ref="C159:H159"/>
    <mergeCell ref="A146:B146"/>
    <mergeCell ref="C146:H146"/>
    <mergeCell ref="A147:B147"/>
    <mergeCell ref="C147:H147"/>
    <mergeCell ref="A148:B148"/>
    <mergeCell ref="C148:H148"/>
    <mergeCell ref="A149:B149"/>
    <mergeCell ref="C149:H149"/>
    <mergeCell ref="A150:B150"/>
    <mergeCell ref="C150:H150"/>
    <mergeCell ref="A139:B139"/>
    <mergeCell ref="C139:H139"/>
    <mergeCell ref="A140:B140"/>
    <mergeCell ref="C140:H140"/>
    <mergeCell ref="A143:B143"/>
    <mergeCell ref="C143:H143"/>
    <mergeCell ref="A144:B144"/>
    <mergeCell ref="C144:H144"/>
    <mergeCell ref="A145:B145"/>
    <mergeCell ref="C145:H145"/>
    <mergeCell ref="A141:B141"/>
    <mergeCell ref="A142:B142"/>
    <mergeCell ref="C141:H141"/>
    <mergeCell ref="C142:H142"/>
    <mergeCell ref="A134:B134"/>
    <mergeCell ref="C134:H134"/>
    <mergeCell ref="A135:B135"/>
    <mergeCell ref="C135:H135"/>
    <mergeCell ref="A136:B136"/>
    <mergeCell ref="C136:H136"/>
    <mergeCell ref="A137:B137"/>
    <mergeCell ref="C137:H137"/>
    <mergeCell ref="A138:B138"/>
    <mergeCell ref="C138:H138"/>
    <mergeCell ref="A129:B129"/>
    <mergeCell ref="C129:H129"/>
    <mergeCell ref="A130:B130"/>
    <mergeCell ref="C130:H130"/>
    <mergeCell ref="A131:B131"/>
    <mergeCell ref="C131:H131"/>
    <mergeCell ref="A132:B132"/>
    <mergeCell ref="C132:H132"/>
    <mergeCell ref="A133:B133"/>
    <mergeCell ref="C133:H133"/>
    <mergeCell ref="A124:B124"/>
    <mergeCell ref="C124:H124"/>
    <mergeCell ref="A125:B125"/>
    <mergeCell ref="C125:H125"/>
    <mergeCell ref="A126:B126"/>
    <mergeCell ref="C126:H126"/>
    <mergeCell ref="A127:B127"/>
    <mergeCell ref="C127:H127"/>
    <mergeCell ref="A128:B128"/>
    <mergeCell ref="C128:H128"/>
    <mergeCell ref="A119:B119"/>
    <mergeCell ref="C119:H119"/>
    <mergeCell ref="A120:B120"/>
    <mergeCell ref="C120:H120"/>
    <mergeCell ref="A121:B121"/>
    <mergeCell ref="C121:H121"/>
    <mergeCell ref="A122:B122"/>
    <mergeCell ref="C122:H122"/>
    <mergeCell ref="A123:B123"/>
    <mergeCell ref="C123:H123"/>
    <mergeCell ref="A113:B113"/>
    <mergeCell ref="C113:H113"/>
    <mergeCell ref="A114:B114"/>
    <mergeCell ref="C114:H114"/>
    <mergeCell ref="A115:B115"/>
    <mergeCell ref="C115:H115"/>
    <mergeCell ref="A116:B116"/>
    <mergeCell ref="A117:B117"/>
    <mergeCell ref="A118:B118"/>
    <mergeCell ref="C118:H118"/>
    <mergeCell ref="A108:B108"/>
    <mergeCell ref="C108:H108"/>
    <mergeCell ref="A109:B109"/>
    <mergeCell ref="C109:H109"/>
    <mergeCell ref="A110:B110"/>
    <mergeCell ref="C110:H110"/>
    <mergeCell ref="A111:B111"/>
    <mergeCell ref="C111:H111"/>
    <mergeCell ref="A112:B112"/>
    <mergeCell ref="C112:H112"/>
    <mergeCell ref="A100:B100"/>
    <mergeCell ref="C100:H100"/>
    <mergeCell ref="A101:B101"/>
    <mergeCell ref="C101:H101"/>
    <mergeCell ref="A105:B105"/>
    <mergeCell ref="C105:H105"/>
    <mergeCell ref="A106:B106"/>
    <mergeCell ref="C106:H106"/>
    <mergeCell ref="A107:B107"/>
    <mergeCell ref="C107:H107"/>
    <mergeCell ref="A102:B102"/>
    <mergeCell ref="C102:H102"/>
    <mergeCell ref="A103:B103"/>
    <mergeCell ref="C103:H103"/>
    <mergeCell ref="A104:B104"/>
    <mergeCell ref="C104:H104"/>
    <mergeCell ref="A95:B95"/>
    <mergeCell ref="C95:H95"/>
    <mergeCell ref="A96:B96"/>
    <mergeCell ref="C96:H96"/>
    <mergeCell ref="A97:B97"/>
    <mergeCell ref="C97:H97"/>
    <mergeCell ref="A98:B98"/>
    <mergeCell ref="C98:H98"/>
    <mergeCell ref="A99:B99"/>
    <mergeCell ref="C99:H99"/>
    <mergeCell ref="A88:B88"/>
    <mergeCell ref="C88:H88"/>
    <mergeCell ref="A89:H89"/>
    <mergeCell ref="A92:B92"/>
    <mergeCell ref="C92:H92"/>
    <mergeCell ref="A93:B93"/>
    <mergeCell ref="C93:H93"/>
    <mergeCell ref="A94:B94"/>
    <mergeCell ref="C94:H94"/>
    <mergeCell ref="A83:B83"/>
    <mergeCell ref="C83:H83"/>
    <mergeCell ref="A84:B84"/>
    <mergeCell ref="C84:H84"/>
    <mergeCell ref="A85:B85"/>
    <mergeCell ref="C85:H85"/>
    <mergeCell ref="A86:B86"/>
    <mergeCell ref="C86:H86"/>
    <mergeCell ref="A87:B87"/>
    <mergeCell ref="C87:H87"/>
    <mergeCell ref="A78:B78"/>
    <mergeCell ref="C78:H78"/>
    <mergeCell ref="A79:B79"/>
    <mergeCell ref="C79:H79"/>
    <mergeCell ref="A80:B80"/>
    <mergeCell ref="C80:H80"/>
    <mergeCell ref="A81:B81"/>
    <mergeCell ref="C81:H81"/>
    <mergeCell ref="A82:B82"/>
    <mergeCell ref="C82:H82"/>
    <mergeCell ref="A73:B73"/>
    <mergeCell ref="C73:H73"/>
    <mergeCell ref="A74:B74"/>
    <mergeCell ref="C74:H74"/>
    <mergeCell ref="A75:B75"/>
    <mergeCell ref="C75:H75"/>
    <mergeCell ref="A76:B76"/>
    <mergeCell ref="C76:H76"/>
    <mergeCell ref="A77:B77"/>
    <mergeCell ref="C77:H77"/>
    <mergeCell ref="A68:B68"/>
    <mergeCell ref="C68:H68"/>
    <mergeCell ref="A69:B69"/>
    <mergeCell ref="C69:H69"/>
    <mergeCell ref="A70:B70"/>
    <mergeCell ref="C70:H70"/>
    <mergeCell ref="A71:B71"/>
    <mergeCell ref="C71:H71"/>
    <mergeCell ref="A72:B72"/>
    <mergeCell ref="C72:H72"/>
    <mergeCell ref="A63:B63"/>
    <mergeCell ref="C63:H63"/>
    <mergeCell ref="A64:B64"/>
    <mergeCell ref="C64:H64"/>
    <mergeCell ref="A65:B65"/>
    <mergeCell ref="C65:H65"/>
    <mergeCell ref="A66:B66"/>
    <mergeCell ref="C66:H66"/>
    <mergeCell ref="A67:B67"/>
    <mergeCell ref="C67:H67"/>
    <mergeCell ref="A58:B58"/>
    <mergeCell ref="C58:H58"/>
    <mergeCell ref="A59:B59"/>
    <mergeCell ref="C59:H59"/>
    <mergeCell ref="A60:B60"/>
    <mergeCell ref="C60:H60"/>
    <mergeCell ref="A61:B61"/>
    <mergeCell ref="C61:H61"/>
    <mergeCell ref="A62:B62"/>
    <mergeCell ref="C62:H62"/>
    <mergeCell ref="A53:B53"/>
    <mergeCell ref="C53:H53"/>
    <mergeCell ref="A54:B54"/>
    <mergeCell ref="C54:H54"/>
    <mergeCell ref="A55:B55"/>
    <mergeCell ref="C55:H55"/>
    <mergeCell ref="A56:B56"/>
    <mergeCell ref="C56:H56"/>
    <mergeCell ref="A57:B57"/>
    <mergeCell ref="C57:H57"/>
    <mergeCell ref="A48:B48"/>
    <mergeCell ref="C48:H48"/>
    <mergeCell ref="A49:B49"/>
    <mergeCell ref="C49:H49"/>
    <mergeCell ref="A50:B50"/>
    <mergeCell ref="C50:H50"/>
    <mergeCell ref="A51:B51"/>
    <mergeCell ref="C51:H51"/>
    <mergeCell ref="A52:B52"/>
    <mergeCell ref="C52:H52"/>
    <mergeCell ref="A43:B43"/>
    <mergeCell ref="C43:H43"/>
    <mergeCell ref="A44:B44"/>
    <mergeCell ref="C44:H44"/>
    <mergeCell ref="A45:B45"/>
    <mergeCell ref="C45:H45"/>
    <mergeCell ref="A46:B46"/>
    <mergeCell ref="C46:H46"/>
    <mergeCell ref="A47:B47"/>
    <mergeCell ref="C47:H47"/>
    <mergeCell ref="A38:B38"/>
    <mergeCell ref="C38:H38"/>
    <mergeCell ref="A39:B39"/>
    <mergeCell ref="C39:H39"/>
    <mergeCell ref="A40:B40"/>
    <mergeCell ref="C40:H40"/>
    <mergeCell ref="A41:B41"/>
    <mergeCell ref="C41:H41"/>
    <mergeCell ref="A42:B42"/>
    <mergeCell ref="C42:H42"/>
    <mergeCell ref="A33:B33"/>
    <mergeCell ref="C33:H33"/>
    <mergeCell ref="A34:B34"/>
    <mergeCell ref="C34:H34"/>
    <mergeCell ref="A35:B35"/>
    <mergeCell ref="C35:H35"/>
    <mergeCell ref="A36:B36"/>
    <mergeCell ref="C36:H36"/>
    <mergeCell ref="A37:B37"/>
    <mergeCell ref="C37:H37"/>
    <mergeCell ref="A26:B26"/>
    <mergeCell ref="C26:H26"/>
    <mergeCell ref="A27:B27"/>
    <mergeCell ref="A30:B30"/>
    <mergeCell ref="C28:H28"/>
    <mergeCell ref="A31:B31"/>
    <mergeCell ref="C31:H31"/>
    <mergeCell ref="A32:B32"/>
    <mergeCell ref="C32:H32"/>
    <mergeCell ref="C27:H27"/>
    <mergeCell ref="A29:B29"/>
    <mergeCell ref="C29:H29"/>
    <mergeCell ref="C30:H30"/>
    <mergeCell ref="A21:B21"/>
    <mergeCell ref="C21:H21"/>
    <mergeCell ref="A22:B22"/>
    <mergeCell ref="C22:H22"/>
    <mergeCell ref="A23:B23"/>
    <mergeCell ref="C23:H23"/>
    <mergeCell ref="A24:B24"/>
    <mergeCell ref="C24:H24"/>
    <mergeCell ref="A25:B25"/>
    <mergeCell ref="C25:H25"/>
    <mergeCell ref="B1:H1"/>
    <mergeCell ref="A2:B2"/>
    <mergeCell ref="C2:H2"/>
    <mergeCell ref="A4:H4"/>
    <mergeCell ref="A9:K9"/>
    <mergeCell ref="A13:K13"/>
    <mergeCell ref="K6:M6"/>
    <mergeCell ref="A20:B20"/>
    <mergeCell ref="C20:H20"/>
  </mergeCells>
  <printOptions horizontalCentered="1"/>
  <pageMargins left="0.39370078740157483" right="0.19685039370078741" top="0.19685039370078741" bottom="0.19685039370078741"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8">
    <outlinePr summaryBelow="0"/>
  </sheetPr>
  <dimension ref="A1:R93"/>
  <sheetViews>
    <sheetView showGridLines="0" topLeftCell="A70" zoomScale="90" zoomScaleNormal="90" zoomScaleSheetLayoutView="80" workbookViewId="0">
      <selection activeCell="A93" sqref="A93"/>
    </sheetView>
  </sheetViews>
  <sheetFormatPr baseColWidth="10" defaultColWidth="11.44140625" defaultRowHeight="13.2" outlineLevelRow="2" outlineLevelCol="1"/>
  <cols>
    <col min="1" max="1" width="16.88671875" style="6" customWidth="1"/>
    <col min="2" max="2" width="37.5546875" style="6" bestFit="1" customWidth="1"/>
    <col min="3" max="3" width="16.5546875" style="6" bestFit="1" customWidth="1"/>
    <col min="4" max="4" width="15.5546875" style="6" customWidth="1"/>
    <col min="5" max="5" width="17.5546875" style="6" bestFit="1" customWidth="1"/>
    <col min="6" max="6" width="19" style="6" customWidth="1" outlineLevel="1"/>
    <col min="7" max="7" width="17.109375" style="6" customWidth="1"/>
    <col min="8" max="11" width="17" style="6" customWidth="1"/>
    <col min="12" max="12" width="3.5546875" style="211" customWidth="1"/>
    <col min="13" max="14" width="17" style="6" customWidth="1" outlineLevel="1"/>
    <col min="15" max="15" width="17" style="6" customWidth="1"/>
    <col min="16" max="16384" width="11.44140625" style="6"/>
  </cols>
  <sheetData>
    <row r="1" spans="1:18" ht="17.25" customHeight="1" thickTop="1">
      <c r="A1" s="115" t="s">
        <v>0</v>
      </c>
      <c r="B1" s="483" t="s">
        <v>1359</v>
      </c>
      <c r="C1" s="484"/>
      <c r="D1" s="484"/>
      <c r="E1" s="484"/>
      <c r="F1" s="484"/>
      <c r="G1" s="484"/>
      <c r="H1" s="485"/>
      <c r="I1" s="270"/>
      <c r="J1" s="4" t="s">
        <v>1</v>
      </c>
      <c r="K1" s="5" t="s">
        <v>2</v>
      </c>
      <c r="L1" s="18"/>
      <c r="M1" s="60"/>
      <c r="N1" s="18"/>
      <c r="O1" s="60"/>
      <c r="P1" s="233"/>
      <c r="Q1" s="60"/>
      <c r="R1" s="60"/>
    </row>
    <row r="2" spans="1:18" ht="15.75" customHeight="1">
      <c r="A2" s="116" t="s">
        <v>934</v>
      </c>
      <c r="B2" s="548">
        <v>43343</v>
      </c>
      <c r="C2" s="548"/>
      <c r="D2" s="548"/>
      <c r="E2" s="273"/>
      <c r="F2" s="273"/>
      <c r="G2" s="273"/>
      <c r="H2" s="273"/>
      <c r="I2" s="273"/>
      <c r="J2" s="268" t="str">
        <f>E!B3</f>
        <v xml:space="preserve">NRM_x000D_
</v>
      </c>
      <c r="K2" s="269" t="str">
        <f>E!B4</f>
        <v>JCG</v>
      </c>
      <c r="L2" s="61"/>
      <c r="M2" s="60"/>
      <c r="N2" s="61"/>
      <c r="O2" s="60"/>
      <c r="P2" s="233"/>
      <c r="Q2" s="60"/>
      <c r="R2" s="60"/>
    </row>
    <row r="3" spans="1:18" ht="13.5" customHeight="1">
      <c r="A3" s="490" t="s">
        <v>4</v>
      </c>
      <c r="B3" s="491"/>
      <c r="C3" s="491"/>
      <c r="D3" s="491"/>
      <c r="E3" s="491"/>
      <c r="F3" s="491"/>
      <c r="G3" s="491"/>
      <c r="H3" s="491"/>
      <c r="I3" s="491"/>
      <c r="J3" s="491"/>
      <c r="K3" s="492"/>
      <c r="L3" s="62"/>
      <c r="M3" s="62"/>
      <c r="N3" s="62"/>
      <c r="O3" s="62"/>
      <c r="P3" s="234"/>
      <c r="Q3" s="62"/>
      <c r="R3" s="62"/>
    </row>
    <row r="4" spans="1:18" ht="17.25" customHeight="1" thickBot="1">
      <c r="A4" s="549" t="s">
        <v>943</v>
      </c>
      <c r="B4" s="550"/>
      <c r="C4" s="550"/>
      <c r="D4" s="551"/>
      <c r="E4" s="271"/>
      <c r="F4" s="271"/>
      <c r="G4" s="271"/>
      <c r="H4" s="271"/>
      <c r="I4" s="271"/>
      <c r="J4" s="8" t="s">
        <v>5</v>
      </c>
      <c r="K4" s="9" t="s">
        <v>6</v>
      </c>
      <c r="L4" s="18"/>
      <c r="M4" s="18"/>
      <c r="N4" s="18"/>
      <c r="O4" s="18"/>
      <c r="P4" s="235"/>
      <c r="Q4" s="18"/>
      <c r="R4" s="18"/>
    </row>
    <row r="5" spans="1:18" s="10" customFormat="1" ht="14.4" thickTop="1" thickBot="1">
      <c r="I5" s="63"/>
      <c r="K5" s="63"/>
      <c r="L5" s="218"/>
      <c r="M5" s="63"/>
      <c r="N5" s="63"/>
    </row>
    <row r="6" spans="1:18" s="10" customFormat="1" ht="14.4" thickBot="1">
      <c r="A6" s="12" t="s">
        <v>39</v>
      </c>
      <c r="D6" s="24"/>
      <c r="J6" s="481" t="s">
        <v>947</v>
      </c>
      <c r="K6" s="482"/>
      <c r="L6" s="202"/>
    </row>
    <row r="7" spans="1:18" s="10" customFormat="1">
      <c r="L7" s="202"/>
    </row>
    <row r="8" spans="1:18" s="10" customFormat="1" ht="14.25" customHeight="1">
      <c r="A8" s="500" t="s">
        <v>223</v>
      </c>
      <c r="B8" s="500"/>
      <c r="C8" s="500"/>
      <c r="D8" s="500"/>
      <c r="E8" s="500"/>
      <c r="F8" s="500"/>
      <c r="G8" s="500"/>
      <c r="H8" s="500"/>
      <c r="I8" s="500"/>
      <c r="J8" s="500"/>
      <c r="K8" s="500"/>
      <c r="L8" s="500"/>
      <c r="M8" s="500"/>
      <c r="N8" s="500"/>
    </row>
    <row r="9" spans="1:18" s="10" customFormat="1">
      <c r="A9" s="26"/>
      <c r="B9" s="26"/>
      <c r="C9" s="26"/>
      <c r="D9" s="26"/>
      <c r="L9" s="202"/>
    </row>
    <row r="10" spans="1:18" s="10" customFormat="1">
      <c r="A10" s="12" t="s">
        <v>41</v>
      </c>
      <c r="L10" s="202"/>
    </row>
    <row r="11" spans="1:18" s="10" customFormat="1">
      <c r="L11" s="202"/>
    </row>
    <row r="12" spans="1:18" s="10" customFormat="1" ht="12.75" customHeight="1">
      <c r="A12" s="501" t="s">
        <v>940</v>
      </c>
      <c r="B12" s="500"/>
      <c r="C12" s="500"/>
      <c r="D12" s="500"/>
      <c r="E12" s="500"/>
      <c r="F12" s="500"/>
      <c r="G12" s="500"/>
      <c r="H12" s="500"/>
      <c r="I12" s="500"/>
      <c r="J12" s="500"/>
      <c r="K12" s="500"/>
      <c r="L12" s="500"/>
      <c r="M12" s="500"/>
      <c r="N12" s="500"/>
    </row>
    <row r="13" spans="1:18" s="10" customFormat="1">
      <c r="A13" s="27"/>
      <c r="B13" s="27"/>
      <c r="C13" s="27"/>
      <c r="D13" s="27"/>
      <c r="L13" s="202"/>
    </row>
    <row r="14" spans="1:18" s="10" customFormat="1">
      <c r="A14" s="12" t="s">
        <v>42</v>
      </c>
      <c r="L14" s="202"/>
    </row>
    <row r="15" spans="1:18" s="10" customFormat="1">
      <c r="A15" s="12"/>
      <c r="L15" s="202"/>
    </row>
    <row r="16" spans="1:18" s="10" customFormat="1">
      <c r="A16" s="28" t="s">
        <v>1157</v>
      </c>
      <c r="L16" s="202"/>
    </row>
    <row r="17" spans="1:14" ht="13.8" thickBot="1"/>
    <row r="18" spans="1:14" ht="31.5" customHeight="1" thickBot="1">
      <c r="A18" s="64"/>
      <c r="B18" s="65"/>
      <c r="C18" s="66"/>
      <c r="D18" s="66"/>
      <c r="E18" s="544" t="s">
        <v>613</v>
      </c>
      <c r="F18" s="545"/>
      <c r="G18" s="291" t="s">
        <v>224</v>
      </c>
      <c r="H18" s="292" t="s">
        <v>618</v>
      </c>
      <c r="I18" s="291" t="s">
        <v>224</v>
      </c>
      <c r="J18" s="292" t="s">
        <v>641</v>
      </c>
      <c r="K18" s="291" t="s">
        <v>224</v>
      </c>
      <c r="L18" s="267"/>
      <c r="M18" s="293" t="s">
        <v>46</v>
      </c>
      <c r="N18" s="294" t="s">
        <v>47</v>
      </c>
    </row>
    <row r="19" spans="1:14" ht="15.6">
      <c r="A19" s="281" t="s">
        <v>138</v>
      </c>
      <c r="B19" s="282"/>
      <c r="C19" s="546"/>
      <c r="D19" s="547"/>
      <c r="E19" s="283"/>
      <c r="F19" s="283"/>
      <c r="G19" s="322"/>
      <c r="H19" s="284"/>
      <c r="I19" s="322"/>
      <c r="J19" s="284"/>
      <c r="K19" s="331"/>
      <c r="L19" s="236"/>
      <c r="M19" s="285"/>
      <c r="N19" s="341"/>
    </row>
    <row r="20" spans="1:14" ht="15.6">
      <c r="A20" s="67"/>
      <c r="B20" s="68" t="s">
        <v>225</v>
      </c>
      <c r="C20" s="69"/>
      <c r="D20" s="70"/>
      <c r="E20" s="71"/>
      <c r="F20" s="71"/>
      <c r="G20" s="323"/>
      <c r="H20" s="71"/>
      <c r="I20" s="323"/>
      <c r="J20" s="71"/>
      <c r="K20" s="332"/>
      <c r="L20" s="237"/>
      <c r="M20" s="241"/>
      <c r="N20" s="323"/>
    </row>
    <row r="21" spans="1:14" ht="12" customHeight="1">
      <c r="A21" s="72"/>
      <c r="B21" s="73" t="s">
        <v>226</v>
      </c>
      <c r="C21" s="74"/>
      <c r="D21" s="75"/>
      <c r="E21" s="76">
        <f>SUM(E22:E24)</f>
        <v>1045348.7100000001</v>
      </c>
      <c r="F21" s="76"/>
      <c r="G21" s="324">
        <f>+E21/$E$21</f>
        <v>1</v>
      </c>
      <c r="H21" s="76">
        <f>SUM(H22:H24)</f>
        <v>1378384.08</v>
      </c>
      <c r="I21" s="324">
        <f>+H21/$H$21</f>
        <v>1</v>
      </c>
      <c r="J21" s="76">
        <f>SUM(J22:J24)</f>
        <v>1405422.1400000001</v>
      </c>
      <c r="K21" s="333">
        <f t="shared" ref="K21:K55" si="0">+J21/$J$21</f>
        <v>1</v>
      </c>
      <c r="L21" s="238"/>
      <c r="M21" s="76">
        <f>+F21-H21</f>
        <v>-1378384.08</v>
      </c>
      <c r="N21" s="76">
        <f>IF(ISERROR(+(F21-H21)/H21)=TRUE,"",(F21-H21)/H21)</f>
        <v>-1</v>
      </c>
    </row>
    <row r="22" spans="1:14" ht="15.6" outlineLevel="1">
      <c r="A22" s="77" t="s">
        <v>227</v>
      </c>
      <c r="B22" s="78" t="s">
        <v>228</v>
      </c>
      <c r="C22" s="79"/>
      <c r="D22" s="80"/>
      <c r="E22" s="81">
        <v>956526.42</v>
      </c>
      <c r="F22" s="81"/>
      <c r="G22" s="325">
        <f t="shared" ref="G22:G86" si="1">+E22/$E$21</f>
        <v>0.91503094694592391</v>
      </c>
      <c r="H22" s="81">
        <v>1290882.8600000001</v>
      </c>
      <c r="I22" s="325">
        <f t="shared" ref="I22:I86" si="2">+H22/$H$21</f>
        <v>0.93651898533244815</v>
      </c>
      <c r="J22" s="81">
        <v>1296179.53</v>
      </c>
      <c r="K22" s="334">
        <f t="shared" si="0"/>
        <v>0.92227060689395424</v>
      </c>
      <c r="L22" s="239"/>
      <c r="M22" s="81">
        <f t="shared" ref="M22:M86" si="3">+F22-H22</f>
        <v>-1290882.8600000001</v>
      </c>
      <c r="N22" s="81">
        <f t="shared" ref="N22:N86" si="4">IF(ISERROR(+(F22-H22)/H22)=TRUE,"",(F22-H22)/H22)</f>
        <v>-1</v>
      </c>
    </row>
    <row r="23" spans="1:14" outlineLevel="1">
      <c r="A23" s="77">
        <v>705</v>
      </c>
      <c r="B23" s="78" t="s">
        <v>229</v>
      </c>
      <c r="C23" s="82"/>
      <c r="D23" s="83"/>
      <c r="E23" s="81">
        <v>88822.29</v>
      </c>
      <c r="F23" s="81"/>
      <c r="G23" s="325">
        <f t="shared" si="1"/>
        <v>8.496905305407608E-2</v>
      </c>
      <c r="H23" s="81">
        <v>87501.22</v>
      </c>
      <c r="I23" s="325">
        <f t="shared" si="2"/>
        <v>6.3481014667551877E-2</v>
      </c>
      <c r="J23" s="81">
        <v>109242.61</v>
      </c>
      <c r="K23" s="334">
        <f t="shared" si="0"/>
        <v>7.7729393106045694E-2</v>
      </c>
      <c r="L23" s="239"/>
      <c r="M23" s="81">
        <f t="shared" ref="M23:M24" si="5">+F23-H23</f>
        <v>-87501.22</v>
      </c>
      <c r="N23" s="81">
        <f t="shared" ref="N23:N24" si="6">IF(ISERROR(+(F23-H23)/H23)=TRUE,"",(F23-H23)/H23)</f>
        <v>-1</v>
      </c>
    </row>
    <row r="24" spans="1:14" outlineLevel="1">
      <c r="A24" s="77"/>
      <c r="B24" s="78" t="s">
        <v>1325</v>
      </c>
      <c r="C24" s="82"/>
      <c r="D24" s="83"/>
      <c r="E24" s="81">
        <f>-E!B126</f>
        <v>0</v>
      </c>
      <c r="F24" s="81"/>
      <c r="G24" s="325">
        <f t="shared" si="1"/>
        <v>0</v>
      </c>
      <c r="H24" s="81">
        <f>-E!B516</f>
        <v>0</v>
      </c>
      <c r="I24" s="325">
        <f t="shared" si="2"/>
        <v>0</v>
      </c>
      <c r="J24" s="81">
        <f>-E!B530</f>
        <v>0</v>
      </c>
      <c r="K24" s="334">
        <f t="shared" si="0"/>
        <v>0</v>
      </c>
      <c r="L24" s="239"/>
      <c r="M24" s="81">
        <f t="shared" si="5"/>
        <v>0</v>
      </c>
      <c r="N24" s="81" t="str">
        <f t="shared" si="6"/>
        <v/>
      </c>
    </row>
    <row r="25" spans="1:14">
      <c r="A25" s="84" t="s">
        <v>230</v>
      </c>
      <c r="B25" s="85" t="s">
        <v>231</v>
      </c>
      <c r="C25" s="74"/>
      <c r="D25" s="75"/>
      <c r="E25" s="76">
        <v>-171182.56</v>
      </c>
      <c r="F25" s="76"/>
      <c r="G25" s="311">
        <f t="shared" si="1"/>
        <v>-0.16375641770295005</v>
      </c>
      <c r="H25" s="86">
        <v>0</v>
      </c>
      <c r="I25" s="311">
        <f t="shared" si="2"/>
        <v>0</v>
      </c>
      <c r="J25" s="86">
        <f>-E!B424</f>
        <v>0</v>
      </c>
      <c r="K25" s="335">
        <f t="shared" si="0"/>
        <v>0</v>
      </c>
      <c r="L25" s="238"/>
      <c r="M25" s="86">
        <f t="shared" si="3"/>
        <v>0</v>
      </c>
      <c r="N25" s="86" t="str">
        <f t="shared" si="4"/>
        <v/>
      </c>
    </row>
    <row r="26" spans="1:14" ht="26.4">
      <c r="A26" s="84">
        <v>73</v>
      </c>
      <c r="B26" s="73" t="s">
        <v>232</v>
      </c>
      <c r="C26" s="74"/>
      <c r="D26" s="75"/>
      <c r="E26" s="76">
        <f>-E!B128</f>
        <v>0</v>
      </c>
      <c r="F26" s="76"/>
      <c r="G26" s="311">
        <f t="shared" si="1"/>
        <v>0</v>
      </c>
      <c r="H26" s="86">
        <f>-E!B278</f>
        <v>0</v>
      </c>
      <c r="I26" s="311">
        <f t="shared" si="2"/>
        <v>0</v>
      </c>
      <c r="J26" s="86">
        <f>-E!B425</f>
        <v>0</v>
      </c>
      <c r="K26" s="335">
        <f t="shared" si="0"/>
        <v>0</v>
      </c>
      <c r="L26" s="238"/>
      <c r="M26" s="86">
        <f t="shared" si="3"/>
        <v>0</v>
      </c>
      <c r="N26" s="86" t="str">
        <f t="shared" si="4"/>
        <v/>
      </c>
    </row>
    <row r="27" spans="1:14">
      <c r="A27" s="72"/>
      <c r="B27" s="73" t="s">
        <v>233</v>
      </c>
      <c r="C27" s="74"/>
      <c r="D27" s="75"/>
      <c r="E27" s="76">
        <f>SUM(E28:E31)</f>
        <v>-653928.56000000006</v>
      </c>
      <c r="F27" s="76"/>
      <c r="G27" s="324">
        <f t="shared" si="1"/>
        <v>-0.6255602113863038</v>
      </c>
      <c r="H27" s="86">
        <f>SUM(H28:H31)</f>
        <v>-934721.88</v>
      </c>
      <c r="I27" s="324">
        <f t="shared" si="2"/>
        <v>-0.67812875494035008</v>
      </c>
      <c r="J27" s="86">
        <f>SUM(J28:J31)</f>
        <v>-916012.54</v>
      </c>
      <c r="K27" s="333">
        <f t="shared" si="0"/>
        <v>-0.65177039263092862</v>
      </c>
      <c r="L27" s="238"/>
      <c r="M27" s="86">
        <f t="shared" si="3"/>
        <v>934721.88</v>
      </c>
      <c r="N27" s="86">
        <f t="shared" si="4"/>
        <v>-1</v>
      </c>
    </row>
    <row r="28" spans="1:14" outlineLevel="1">
      <c r="A28" s="77" t="s">
        <v>234</v>
      </c>
      <c r="B28" s="78" t="s">
        <v>235</v>
      </c>
      <c r="C28" s="87"/>
      <c r="D28" s="88"/>
      <c r="E28" s="89">
        <v>-614426.49</v>
      </c>
      <c r="F28" s="89"/>
      <c r="G28" s="326">
        <f t="shared" si="1"/>
        <v>-0.58777179722161799</v>
      </c>
      <c r="H28" s="81">
        <v>-697672.97</v>
      </c>
      <c r="I28" s="326">
        <f t="shared" si="2"/>
        <v>-0.50615280611772584</v>
      </c>
      <c r="J28" s="81">
        <v>-908061.38</v>
      </c>
      <c r="K28" s="336">
        <f t="shared" si="0"/>
        <v>-0.64611290384254227</v>
      </c>
      <c r="L28" s="239"/>
      <c r="M28" s="81">
        <f t="shared" si="3"/>
        <v>697672.97</v>
      </c>
      <c r="N28" s="81">
        <f t="shared" si="4"/>
        <v>-1</v>
      </c>
    </row>
    <row r="29" spans="1:14" ht="15.6" outlineLevel="1">
      <c r="A29" s="77" t="s">
        <v>236</v>
      </c>
      <c r="B29" s="78" t="s">
        <v>237</v>
      </c>
      <c r="C29" s="87"/>
      <c r="D29" s="88"/>
      <c r="E29" s="89">
        <v>-4667.17</v>
      </c>
      <c r="F29" s="89"/>
      <c r="G29" s="326">
        <f t="shared" si="1"/>
        <v>-4.4647015444253041E-3</v>
      </c>
      <c r="H29" s="81">
        <v>0</v>
      </c>
      <c r="I29" s="326">
        <f t="shared" si="2"/>
        <v>0</v>
      </c>
      <c r="J29" s="81">
        <v>-7131.51</v>
      </c>
      <c r="K29" s="336">
        <f t="shared" si="0"/>
        <v>-5.0742832327943825E-3</v>
      </c>
      <c r="L29" s="239"/>
      <c r="M29" s="81">
        <f t="shared" si="3"/>
        <v>0</v>
      </c>
      <c r="N29" s="81" t="str">
        <f t="shared" si="4"/>
        <v/>
      </c>
    </row>
    <row r="30" spans="1:14" outlineLevel="1">
      <c r="A30" s="90" t="s">
        <v>238</v>
      </c>
      <c r="B30" s="78" t="s">
        <v>1365</v>
      </c>
      <c r="C30" s="87"/>
      <c r="D30" s="88"/>
      <c r="E30" s="89">
        <v>-34834.9</v>
      </c>
      <c r="F30" s="89"/>
      <c r="G30" s="326">
        <f t="shared" si="1"/>
        <v>-3.3323712620260466E-2</v>
      </c>
      <c r="H30" s="81">
        <v>-236211.73</v>
      </c>
      <c r="I30" s="326">
        <f t="shared" si="2"/>
        <v>-0.17136858545261202</v>
      </c>
      <c r="J30" s="81">
        <f>-E!B428</f>
        <v>0</v>
      </c>
      <c r="K30" s="336">
        <f t="shared" si="0"/>
        <v>0</v>
      </c>
      <c r="L30" s="239"/>
      <c r="M30" s="81">
        <f t="shared" si="3"/>
        <v>236211.73</v>
      </c>
      <c r="N30" s="81">
        <f t="shared" si="4"/>
        <v>-1</v>
      </c>
    </row>
    <row r="31" spans="1:14" ht="15.6" outlineLevel="1">
      <c r="A31" s="77" t="s">
        <v>239</v>
      </c>
      <c r="B31" s="78" t="s">
        <v>240</v>
      </c>
      <c r="C31" s="91"/>
      <c r="D31" s="92"/>
      <c r="E31" s="89">
        <f>-E!B132</f>
        <v>0</v>
      </c>
      <c r="F31" s="89"/>
      <c r="G31" s="326">
        <f t="shared" si="1"/>
        <v>0</v>
      </c>
      <c r="H31" s="81">
        <v>-837.18</v>
      </c>
      <c r="I31" s="326">
        <f t="shared" si="2"/>
        <v>-6.0736337001222472E-4</v>
      </c>
      <c r="J31" s="81">
        <v>-819.65</v>
      </c>
      <c r="K31" s="336">
        <f t="shared" si="0"/>
        <v>-5.832055555920016E-4</v>
      </c>
      <c r="L31" s="239"/>
      <c r="M31" s="81">
        <f t="shared" si="3"/>
        <v>837.18</v>
      </c>
      <c r="N31" s="81">
        <f t="shared" si="4"/>
        <v>-1</v>
      </c>
    </row>
    <row r="32" spans="1:14">
      <c r="A32" s="72"/>
      <c r="B32" s="73" t="s">
        <v>241</v>
      </c>
      <c r="C32" s="74"/>
      <c r="D32" s="75"/>
      <c r="E32" s="76">
        <f>SUM(E33:E34)</f>
        <v>56981.440000000002</v>
      </c>
      <c r="F32" s="76"/>
      <c r="G32" s="311">
        <f t="shared" si="1"/>
        <v>5.4509504297374604E-2</v>
      </c>
      <c r="H32" s="86">
        <f>SUM(H33:H34)</f>
        <v>52222.81</v>
      </c>
      <c r="I32" s="311">
        <f t="shared" si="2"/>
        <v>3.7886979948288428E-2</v>
      </c>
      <c r="J32" s="86">
        <f>SUM(J33:J34)</f>
        <v>7615.76</v>
      </c>
      <c r="K32" s="335">
        <f t="shared" si="0"/>
        <v>5.4188416300315284E-3</v>
      </c>
      <c r="L32" s="238"/>
      <c r="M32" s="86">
        <f t="shared" si="3"/>
        <v>-52222.81</v>
      </c>
      <c r="N32" s="86">
        <f t="shared" si="4"/>
        <v>-1</v>
      </c>
    </row>
    <row r="33" spans="1:14" outlineLevel="1">
      <c r="A33" s="77">
        <v>75</v>
      </c>
      <c r="B33" s="78" t="s">
        <v>242</v>
      </c>
      <c r="C33" s="91"/>
      <c r="D33" s="92"/>
      <c r="E33" s="81">
        <v>56981.440000000002</v>
      </c>
      <c r="F33" s="81"/>
      <c r="G33" s="325">
        <f t="shared" si="1"/>
        <v>5.4509504297374604E-2</v>
      </c>
      <c r="H33" s="81">
        <v>52222.81</v>
      </c>
      <c r="I33" s="325">
        <f t="shared" si="2"/>
        <v>3.7886979948288428E-2</v>
      </c>
      <c r="J33" s="81">
        <v>534.91999999999996</v>
      </c>
      <c r="K33" s="334">
        <f t="shared" si="0"/>
        <v>3.8061162178646188E-4</v>
      </c>
      <c r="L33" s="239"/>
      <c r="M33" s="81">
        <f t="shared" si="3"/>
        <v>-52222.81</v>
      </c>
      <c r="N33" s="81">
        <f t="shared" si="4"/>
        <v>-1</v>
      </c>
    </row>
    <row r="34" spans="1:14" outlineLevel="1">
      <c r="A34" s="77" t="s">
        <v>243</v>
      </c>
      <c r="B34" s="78" t="s">
        <v>244</v>
      </c>
      <c r="C34" s="91"/>
      <c r="D34" s="92"/>
      <c r="E34" s="81">
        <v>0</v>
      </c>
      <c r="F34" s="81"/>
      <c r="G34" s="325">
        <f t="shared" si="1"/>
        <v>0</v>
      </c>
      <c r="H34" s="81">
        <v>0</v>
      </c>
      <c r="I34" s="325">
        <f t="shared" si="2"/>
        <v>0</v>
      </c>
      <c r="J34" s="81">
        <v>7080.84</v>
      </c>
      <c r="K34" s="334">
        <f t="shared" si="0"/>
        <v>5.0382300082450673E-3</v>
      </c>
      <c r="L34" s="239"/>
      <c r="M34" s="81">
        <f t="shared" si="3"/>
        <v>0</v>
      </c>
      <c r="N34" s="81" t="str">
        <f t="shared" si="4"/>
        <v/>
      </c>
    </row>
    <row r="35" spans="1:14">
      <c r="A35" s="72"/>
      <c r="B35" s="73" t="s">
        <v>245</v>
      </c>
      <c r="C35" s="74"/>
      <c r="D35" s="75"/>
      <c r="E35" s="76">
        <f>SUM(E36:E38)</f>
        <v>-168058.45</v>
      </c>
      <c r="F35" s="76"/>
      <c r="G35" s="311">
        <f t="shared" si="1"/>
        <v>-0.16076783602669772</v>
      </c>
      <c r="H35" s="86">
        <f>SUM(H36:H38)</f>
        <v>-242687.49</v>
      </c>
      <c r="I35" s="311">
        <f t="shared" si="2"/>
        <v>-0.17606666641129515</v>
      </c>
      <c r="J35" s="86">
        <f>SUM(J36:J38)</f>
        <v>-223060.47999999998</v>
      </c>
      <c r="K35" s="335">
        <f t="shared" si="0"/>
        <v>-0.15871422091016721</v>
      </c>
      <c r="L35" s="238"/>
      <c r="M35" s="86">
        <f t="shared" si="3"/>
        <v>242687.49</v>
      </c>
      <c r="N35" s="86">
        <f t="shared" si="4"/>
        <v>-1</v>
      </c>
    </row>
    <row r="36" spans="1:14" outlineLevel="2">
      <c r="A36" s="77" t="s">
        <v>246</v>
      </c>
      <c r="B36" s="78" t="s">
        <v>247</v>
      </c>
      <c r="C36" s="91"/>
      <c r="D36" s="92"/>
      <c r="E36" s="81">
        <v>-129121.37</v>
      </c>
      <c r="F36" s="81"/>
      <c r="G36" s="325">
        <f t="shared" si="1"/>
        <v>-0.12351990179430172</v>
      </c>
      <c r="H36" s="81">
        <v>-186091.88</v>
      </c>
      <c r="I36" s="325">
        <f t="shared" si="2"/>
        <v>-0.13500727605617732</v>
      </c>
      <c r="J36" s="81">
        <v>-171231.21</v>
      </c>
      <c r="K36" s="334">
        <f t="shared" si="0"/>
        <v>-0.12183614099035039</v>
      </c>
      <c r="L36" s="239"/>
      <c r="M36" s="81">
        <f t="shared" si="3"/>
        <v>186091.88</v>
      </c>
      <c r="N36" s="81">
        <f t="shared" si="4"/>
        <v>-1</v>
      </c>
    </row>
    <row r="37" spans="1:14" outlineLevel="2">
      <c r="A37" s="77" t="s">
        <v>248</v>
      </c>
      <c r="B37" s="78" t="s">
        <v>249</v>
      </c>
      <c r="C37" s="91"/>
      <c r="D37" s="92"/>
      <c r="E37" s="81">
        <v>-38937.08</v>
      </c>
      <c r="F37" s="81"/>
      <c r="G37" s="325">
        <f t="shared" si="1"/>
        <v>-3.7247934232396002E-2</v>
      </c>
      <c r="H37" s="81">
        <v>-56595.61</v>
      </c>
      <c r="I37" s="325">
        <f t="shared" si="2"/>
        <v>-4.1059390355117853E-2</v>
      </c>
      <c r="J37" s="81">
        <v>-51829.27</v>
      </c>
      <c r="K37" s="334">
        <f t="shared" si="0"/>
        <v>-3.6878079919816828E-2</v>
      </c>
      <c r="L37" s="239"/>
      <c r="M37" s="81">
        <f t="shared" si="3"/>
        <v>56595.61</v>
      </c>
      <c r="N37" s="81">
        <f t="shared" si="4"/>
        <v>-1</v>
      </c>
    </row>
    <row r="38" spans="1:14" outlineLevel="2">
      <c r="A38" s="77" t="s">
        <v>250</v>
      </c>
      <c r="B38" s="78" t="s">
        <v>251</v>
      </c>
      <c r="C38" s="91"/>
      <c r="D38" s="92"/>
      <c r="E38" s="81">
        <f>-E!B137</f>
        <v>0</v>
      </c>
      <c r="F38" s="81"/>
      <c r="G38" s="325">
        <f t="shared" si="1"/>
        <v>0</v>
      </c>
      <c r="H38" s="81">
        <v>0</v>
      </c>
      <c r="I38" s="325">
        <f t="shared" si="2"/>
        <v>0</v>
      </c>
      <c r="J38" s="81">
        <f>-E!B434</f>
        <v>0</v>
      </c>
      <c r="K38" s="334">
        <f t="shared" si="0"/>
        <v>0</v>
      </c>
      <c r="L38" s="239"/>
      <c r="M38" s="81">
        <f t="shared" si="3"/>
        <v>0</v>
      </c>
      <c r="N38" s="81" t="str">
        <f t="shared" si="4"/>
        <v/>
      </c>
    </row>
    <row r="39" spans="1:14">
      <c r="A39" s="72"/>
      <c r="B39" s="73" t="s">
        <v>252</v>
      </c>
      <c r="C39" s="74"/>
      <c r="D39" s="75"/>
      <c r="E39" s="76">
        <f>SUM(E40:E44)</f>
        <v>-81858.720000000001</v>
      </c>
      <c r="F39" s="76"/>
      <c r="G39" s="311">
        <f t="shared" si="1"/>
        <v>-7.8307572599386477E-2</v>
      </c>
      <c r="H39" s="86">
        <f>SUM(H40:H44)</f>
        <v>-181488.47999999998</v>
      </c>
      <c r="I39" s="311">
        <f t="shared" si="2"/>
        <v>-0.13166756830215273</v>
      </c>
      <c r="J39" s="86">
        <f>SUM(J40:J44)</f>
        <v>-324350.83</v>
      </c>
      <c r="K39" s="335">
        <f t="shared" si="0"/>
        <v>-0.23078534254483851</v>
      </c>
      <c r="L39" s="238"/>
      <c r="M39" s="86">
        <f>+F39-H39</f>
        <v>181488.47999999998</v>
      </c>
      <c r="N39" s="86">
        <f t="shared" si="4"/>
        <v>-1</v>
      </c>
    </row>
    <row r="40" spans="1:14" outlineLevel="1">
      <c r="A40" s="90" t="s">
        <v>253</v>
      </c>
      <c r="B40" s="78" t="s">
        <v>254</v>
      </c>
      <c r="C40" s="91"/>
      <c r="D40" s="92"/>
      <c r="E40" s="81">
        <v>-81162.31</v>
      </c>
      <c r="F40" s="81"/>
      <c r="G40" s="325">
        <f t="shared" si="1"/>
        <v>-7.7641373853132689E-2</v>
      </c>
      <c r="H40" s="81">
        <v>-175506.69</v>
      </c>
      <c r="I40" s="325">
        <f t="shared" si="2"/>
        <v>-0.127327856253244</v>
      </c>
      <c r="J40" s="81">
        <v>-136515.88</v>
      </c>
      <c r="K40" s="334">
        <f t="shared" si="0"/>
        <v>-9.7135142612738395E-2</v>
      </c>
      <c r="L40" s="239"/>
      <c r="M40" s="81">
        <f t="shared" si="3"/>
        <v>175506.69</v>
      </c>
      <c r="N40" s="81">
        <f t="shared" si="4"/>
        <v>-1</v>
      </c>
    </row>
    <row r="41" spans="1:14" outlineLevel="1">
      <c r="A41" s="77" t="s">
        <v>255</v>
      </c>
      <c r="B41" s="78" t="s">
        <v>256</v>
      </c>
      <c r="C41" s="91"/>
      <c r="D41" s="92"/>
      <c r="E41" s="81">
        <v>-6637.2</v>
      </c>
      <c r="F41" s="81"/>
      <c r="G41" s="325">
        <f t="shared" si="1"/>
        <v>-6.3492688482869979E-3</v>
      </c>
      <c r="H41" s="81">
        <v>-13901.71</v>
      </c>
      <c r="I41" s="325">
        <f t="shared" si="2"/>
        <v>-1.0085512595299271E-2</v>
      </c>
      <c r="J41" s="81">
        <v>-7675.1</v>
      </c>
      <c r="K41" s="334">
        <f t="shared" si="0"/>
        <v>-5.4610638195866186E-3</v>
      </c>
      <c r="L41" s="239"/>
      <c r="M41" s="81">
        <f t="shared" si="3"/>
        <v>13901.71</v>
      </c>
      <c r="N41" s="81">
        <f t="shared" si="4"/>
        <v>-1</v>
      </c>
    </row>
    <row r="42" spans="1:14" outlineLevel="1">
      <c r="A42" s="77" t="s">
        <v>257</v>
      </c>
      <c r="B42" s="78" t="s">
        <v>258</v>
      </c>
      <c r="C42" s="91"/>
      <c r="D42" s="92"/>
      <c r="E42" s="81">
        <v>5940.79</v>
      </c>
      <c r="F42" s="81"/>
      <c r="G42" s="325">
        <f t="shared" si="1"/>
        <v>5.683070102033224E-3</v>
      </c>
      <c r="H42" s="81">
        <v>7919.92</v>
      </c>
      <c r="I42" s="325">
        <f t="shared" si="2"/>
        <v>5.7458005463905237E-3</v>
      </c>
      <c r="J42" s="81">
        <v>9982.15</v>
      </c>
      <c r="K42" s="334">
        <f t="shared" si="0"/>
        <v>7.10259908101348E-3</v>
      </c>
      <c r="L42" s="239"/>
      <c r="M42" s="81">
        <f t="shared" si="3"/>
        <v>-7919.92</v>
      </c>
      <c r="N42" s="81">
        <f t="shared" si="4"/>
        <v>-1</v>
      </c>
    </row>
    <row r="43" spans="1:14" outlineLevel="1">
      <c r="A43" s="77" t="s">
        <v>259</v>
      </c>
      <c r="B43" s="78" t="s">
        <v>260</v>
      </c>
      <c r="C43" s="91"/>
      <c r="D43" s="92"/>
      <c r="E43" s="81">
        <v>0</v>
      </c>
      <c r="F43" s="81"/>
      <c r="G43" s="325">
        <f t="shared" si="1"/>
        <v>0</v>
      </c>
      <c r="H43" s="81">
        <v>0</v>
      </c>
      <c r="I43" s="325">
        <f t="shared" si="2"/>
        <v>0</v>
      </c>
      <c r="J43" s="81">
        <f>-E!B438</f>
        <v>0</v>
      </c>
      <c r="K43" s="334">
        <f t="shared" si="0"/>
        <v>0</v>
      </c>
      <c r="L43" s="239"/>
      <c r="M43" s="81">
        <f t="shared" si="3"/>
        <v>0</v>
      </c>
      <c r="N43" s="81" t="str">
        <f t="shared" si="4"/>
        <v/>
      </c>
    </row>
    <row r="44" spans="1:14" outlineLevel="1">
      <c r="A44" s="77"/>
      <c r="B44" s="78" t="s">
        <v>1409</v>
      </c>
      <c r="C44" s="91"/>
      <c r="D44" s="92"/>
      <c r="E44" s="81">
        <f>-E!B142</f>
        <v>0</v>
      </c>
      <c r="F44" s="81"/>
      <c r="G44" s="325">
        <f t="shared" ref="G44" si="7">+E44/$E$21</f>
        <v>0</v>
      </c>
      <c r="H44" s="81">
        <f>-E!B517</f>
        <v>0</v>
      </c>
      <c r="I44" s="325">
        <f t="shared" si="2"/>
        <v>0</v>
      </c>
      <c r="J44" s="81">
        <v>-190142</v>
      </c>
      <c r="K44" s="334">
        <f t="shared" si="0"/>
        <v>-0.13529173519352697</v>
      </c>
      <c r="L44" s="239"/>
      <c r="M44" s="81">
        <f t="shared" ref="M44" si="8">+F44-H44</f>
        <v>0</v>
      </c>
      <c r="N44" s="81" t="str">
        <f t="shared" ref="N44" si="9">IF(ISERROR(+(F44-H44)/H44)=TRUE,"",(F44-H44)/H44)</f>
        <v/>
      </c>
    </row>
    <row r="45" spans="1:14">
      <c r="A45" s="93" t="s">
        <v>261</v>
      </c>
      <c r="B45" s="73" t="s">
        <v>262</v>
      </c>
      <c r="C45" s="74"/>
      <c r="D45" s="75"/>
      <c r="E45" s="76">
        <v>-27298.3</v>
      </c>
      <c r="F45" s="76"/>
      <c r="G45" s="311">
        <f t="shared" si="1"/>
        <v>-2.6114061019886843E-2</v>
      </c>
      <c r="H45" s="86">
        <v>-38284.18</v>
      </c>
      <c r="I45" s="311">
        <f t="shared" si="2"/>
        <v>-2.7774682365745255E-2</v>
      </c>
      <c r="J45" s="86">
        <v>-41000.959999999999</v>
      </c>
      <c r="K45" s="335">
        <f t="shared" si="0"/>
        <v>-2.9173412623199457E-2</v>
      </c>
      <c r="L45" s="238"/>
      <c r="M45" s="86">
        <f t="shared" si="3"/>
        <v>38284.18</v>
      </c>
      <c r="N45" s="86">
        <f t="shared" si="4"/>
        <v>-1</v>
      </c>
    </row>
    <row r="46" spans="1:14">
      <c r="A46" s="84">
        <v>746</v>
      </c>
      <c r="B46" s="94" t="s">
        <v>263</v>
      </c>
      <c r="C46" s="74"/>
      <c r="D46" s="75"/>
      <c r="E46" s="76">
        <v>2203.52</v>
      </c>
      <c r="F46" s="76"/>
      <c r="G46" s="311">
        <f t="shared" si="1"/>
        <v>2.1079281764264097E-3</v>
      </c>
      <c r="H46" s="86">
        <v>3950.63</v>
      </c>
      <c r="I46" s="311">
        <f t="shared" si="2"/>
        <v>2.8661314776647737E-3</v>
      </c>
      <c r="J46" s="86">
        <v>10581.38</v>
      </c>
      <c r="K46" s="335">
        <f t="shared" si="0"/>
        <v>7.5289691964010178E-3</v>
      </c>
      <c r="L46" s="238"/>
      <c r="M46" s="86">
        <f t="shared" si="3"/>
        <v>-3950.63</v>
      </c>
      <c r="N46" s="86">
        <f t="shared" si="4"/>
        <v>-1</v>
      </c>
    </row>
    <row r="47" spans="1:14" ht="26.4">
      <c r="A47" s="84" t="s">
        <v>264</v>
      </c>
      <c r="B47" s="73" t="s">
        <v>265</v>
      </c>
      <c r="C47" s="74"/>
      <c r="D47" s="75"/>
      <c r="E47" s="76">
        <f>-E!B145</f>
        <v>0</v>
      </c>
      <c r="F47" s="76"/>
      <c r="G47" s="311">
        <f t="shared" si="1"/>
        <v>0</v>
      </c>
      <c r="H47" s="86">
        <f>-E!B294</f>
        <v>0</v>
      </c>
      <c r="I47" s="311">
        <f t="shared" si="2"/>
        <v>0</v>
      </c>
      <c r="J47" s="86">
        <f>-E!B441</f>
        <v>0</v>
      </c>
      <c r="K47" s="335">
        <f t="shared" si="0"/>
        <v>0</v>
      </c>
      <c r="L47" s="238"/>
      <c r="M47" s="86">
        <f t="shared" si="3"/>
        <v>0</v>
      </c>
      <c r="N47" s="86" t="str">
        <f t="shared" si="4"/>
        <v/>
      </c>
    </row>
    <row r="48" spans="1:14">
      <c r="A48" s="72"/>
      <c r="B48" s="94" t="s">
        <v>266</v>
      </c>
      <c r="C48" s="74"/>
      <c r="D48" s="75"/>
      <c r="E48" s="76">
        <f>SUM(E49:E51)</f>
        <v>0</v>
      </c>
      <c r="F48" s="76"/>
      <c r="G48" s="311">
        <f t="shared" si="1"/>
        <v>0</v>
      </c>
      <c r="H48" s="86">
        <f>SUM(H49:H51)</f>
        <v>0</v>
      </c>
      <c r="I48" s="311">
        <f t="shared" si="2"/>
        <v>0</v>
      </c>
      <c r="J48" s="86">
        <f>SUM(J49:J51)</f>
        <v>0</v>
      </c>
      <c r="K48" s="335">
        <f t="shared" si="0"/>
        <v>0</v>
      </c>
      <c r="L48" s="238"/>
      <c r="M48" s="86">
        <f t="shared" si="3"/>
        <v>0</v>
      </c>
      <c r="N48" s="86" t="str">
        <f t="shared" si="4"/>
        <v/>
      </c>
    </row>
    <row r="49" spans="1:14" outlineLevel="1">
      <c r="A49" s="77" t="s">
        <v>267</v>
      </c>
      <c r="B49" s="78" t="s">
        <v>268</v>
      </c>
      <c r="C49" s="91"/>
      <c r="D49" s="92"/>
      <c r="E49" s="81">
        <f>-E!B146</f>
        <v>0</v>
      </c>
      <c r="F49" s="81"/>
      <c r="G49" s="325">
        <f t="shared" si="1"/>
        <v>0</v>
      </c>
      <c r="H49" s="81">
        <f>-E!B295</f>
        <v>0</v>
      </c>
      <c r="I49" s="325">
        <f t="shared" si="2"/>
        <v>0</v>
      </c>
      <c r="J49" s="81">
        <f>-E!B442</f>
        <v>0</v>
      </c>
      <c r="K49" s="334">
        <f t="shared" si="0"/>
        <v>0</v>
      </c>
      <c r="L49" s="239"/>
      <c r="M49" s="81">
        <f t="shared" si="3"/>
        <v>0</v>
      </c>
      <c r="N49" s="81" t="str">
        <f t="shared" si="4"/>
        <v/>
      </c>
    </row>
    <row r="50" spans="1:14" outlineLevel="1">
      <c r="A50" s="77" t="s">
        <v>269</v>
      </c>
      <c r="B50" s="78" t="s">
        <v>270</v>
      </c>
      <c r="C50" s="91"/>
      <c r="D50" s="92"/>
      <c r="E50" s="81">
        <f>-E!B147</f>
        <v>0</v>
      </c>
      <c r="F50" s="81"/>
      <c r="G50" s="325">
        <f t="shared" si="1"/>
        <v>0</v>
      </c>
      <c r="H50" s="81">
        <v>0</v>
      </c>
      <c r="I50" s="325">
        <f t="shared" si="2"/>
        <v>0</v>
      </c>
      <c r="J50" s="81">
        <f>-E!B443</f>
        <v>0</v>
      </c>
      <c r="K50" s="334">
        <f t="shared" si="0"/>
        <v>0</v>
      </c>
      <c r="L50" s="239"/>
      <c r="M50" s="81">
        <f t="shared" si="3"/>
        <v>0</v>
      </c>
      <c r="N50" s="81" t="str">
        <f t="shared" si="4"/>
        <v/>
      </c>
    </row>
    <row r="51" spans="1:14" outlineLevel="1">
      <c r="A51" s="77"/>
      <c r="B51" s="78" t="s">
        <v>1326</v>
      </c>
      <c r="C51" s="91"/>
      <c r="D51" s="92"/>
      <c r="E51" s="81">
        <f>-E!B148</f>
        <v>0</v>
      </c>
      <c r="F51" s="81"/>
      <c r="G51" s="325">
        <f t="shared" si="1"/>
        <v>0</v>
      </c>
      <c r="H51" s="81">
        <f>-E!B518</f>
        <v>0</v>
      </c>
      <c r="I51" s="325">
        <f t="shared" si="2"/>
        <v>0</v>
      </c>
      <c r="J51" s="81">
        <f>-E!B518</f>
        <v>0</v>
      </c>
      <c r="K51" s="334">
        <f t="shared" si="0"/>
        <v>0</v>
      </c>
      <c r="L51" s="239"/>
      <c r="M51" s="81">
        <f t="shared" ref="M51" si="10">+F51-H51</f>
        <v>0</v>
      </c>
      <c r="N51" s="81" t="str">
        <f t="shared" ref="N51" si="11">IF(ISERROR(+(F51-H51)/H51)=TRUE,"",(F51-H51)/H51)</f>
        <v/>
      </c>
    </row>
    <row r="52" spans="1:14">
      <c r="A52" s="72"/>
      <c r="B52" s="94" t="s">
        <v>1366</v>
      </c>
      <c r="C52" s="74"/>
      <c r="D52" s="75"/>
      <c r="E52" s="86">
        <v>-7149.43</v>
      </c>
      <c r="F52" s="86"/>
      <c r="G52" s="311">
        <f t="shared" si="1"/>
        <v>-6.8392775842235458E-3</v>
      </c>
      <c r="H52" s="86">
        <v>-4650.68</v>
      </c>
      <c r="I52" s="311">
        <f t="shared" si="2"/>
        <v>-3.3740087886099208E-3</v>
      </c>
      <c r="J52" s="86">
        <f>-E!B445</f>
        <v>0</v>
      </c>
      <c r="K52" s="335">
        <f t="shared" si="0"/>
        <v>0</v>
      </c>
      <c r="L52" s="238"/>
      <c r="M52" s="86">
        <f t="shared" si="3"/>
        <v>4650.68</v>
      </c>
      <c r="N52" s="86">
        <f t="shared" si="4"/>
        <v>-1</v>
      </c>
    </row>
    <row r="53" spans="1:14">
      <c r="A53" s="72"/>
      <c r="B53" s="94" t="s">
        <v>271</v>
      </c>
      <c r="C53" s="74"/>
      <c r="D53" s="75"/>
      <c r="E53" s="86">
        <f>-E!B149</f>
        <v>0</v>
      </c>
      <c r="F53" s="86"/>
      <c r="G53" s="311">
        <f t="shared" si="1"/>
        <v>0</v>
      </c>
      <c r="H53" s="86">
        <v>178.63</v>
      </c>
      <c r="I53" s="311">
        <f t="shared" si="2"/>
        <v>1.2959377766464045E-4</v>
      </c>
      <c r="J53" s="86">
        <v>-12735.36</v>
      </c>
      <c r="K53" s="335">
        <f t="shared" si="0"/>
        <v>-9.0615905623914524E-3</v>
      </c>
      <c r="L53" s="238"/>
      <c r="M53" s="86">
        <f t="shared" si="3"/>
        <v>-178.63</v>
      </c>
      <c r="N53" s="86">
        <f t="shared" si="4"/>
        <v>-1</v>
      </c>
    </row>
    <row r="54" spans="1:14" ht="26.4">
      <c r="A54" s="95"/>
      <c r="B54" s="96" t="s">
        <v>614</v>
      </c>
      <c r="C54" s="97"/>
      <c r="D54" s="98"/>
      <c r="E54" s="99">
        <f>+E53+E52+E48+E47+E46+E45+E39+E35+E32+E27+E26+E25+E21</f>
        <v>-4942.3499999999767</v>
      </c>
      <c r="F54" s="99"/>
      <c r="G54" s="327">
        <f t="shared" si="1"/>
        <v>-4.7279438456474263E-3</v>
      </c>
      <c r="H54" s="99">
        <f>+H53+H52+H48+H47+H46+H45+H39+H35+H32+H27+H26+H25+H21</f>
        <v>32903.440000000177</v>
      </c>
      <c r="I54" s="327">
        <f t="shared" si="2"/>
        <v>2.3871024395464707E-2</v>
      </c>
      <c r="J54" s="99">
        <f>+J53+J52+J48+J47+J46+J45+J39+J35+J32+J27+J26+J25+J21</f>
        <v>-93540.889999999898</v>
      </c>
      <c r="K54" s="337">
        <f t="shared" si="0"/>
        <v>-6.6557148445092723E-2</v>
      </c>
      <c r="L54" s="238"/>
      <c r="M54" s="99">
        <f t="shared" si="3"/>
        <v>-32903.440000000177</v>
      </c>
      <c r="N54" s="99">
        <f t="shared" si="4"/>
        <v>-1</v>
      </c>
    </row>
    <row r="55" spans="1:14">
      <c r="A55" s="72"/>
      <c r="B55" s="73" t="s">
        <v>272</v>
      </c>
      <c r="C55" s="74"/>
      <c r="D55" s="75"/>
      <c r="E55" s="76">
        <f>+E56+E59+E62</f>
        <v>22007.280000000002</v>
      </c>
      <c r="F55" s="76"/>
      <c r="G55" s="324">
        <f t="shared" si="1"/>
        <v>2.1052572973472173E-2</v>
      </c>
      <c r="H55" s="86">
        <f>+H56+H59+H62</f>
        <v>87612.02</v>
      </c>
      <c r="I55" s="324">
        <f t="shared" si="2"/>
        <v>6.3561398648771389E-2</v>
      </c>
      <c r="J55" s="86">
        <f>+J56+J59+J62</f>
        <v>125133.81999999999</v>
      </c>
      <c r="K55" s="333">
        <f t="shared" si="0"/>
        <v>8.9036465584639207E-2</v>
      </c>
      <c r="L55" s="238"/>
      <c r="M55" s="86">
        <f t="shared" si="3"/>
        <v>-87612.02</v>
      </c>
      <c r="N55" s="86">
        <f t="shared" si="4"/>
        <v>-1</v>
      </c>
    </row>
    <row r="56" spans="1:14" outlineLevel="1">
      <c r="A56" s="100"/>
      <c r="B56" s="78" t="s">
        <v>273</v>
      </c>
      <c r="C56" s="91"/>
      <c r="D56" s="92"/>
      <c r="E56" s="89">
        <v>200.7</v>
      </c>
      <c r="F56" s="89"/>
      <c r="G56" s="326">
        <f t="shared" si="1"/>
        <v>1.9199334928150433E-4</v>
      </c>
      <c r="H56" s="89">
        <v>58740</v>
      </c>
      <c r="I56" s="326">
        <f t="shared" si="2"/>
        <v>4.2615117841465489E-2</v>
      </c>
      <c r="J56" s="89">
        <v>95284.51</v>
      </c>
      <c r="K56" s="336">
        <f t="shared" ref="K56:K86" si="12">+J56/$J$21</f>
        <v>6.779778636474304E-2</v>
      </c>
      <c r="L56" s="239"/>
      <c r="M56" s="89">
        <f t="shared" si="3"/>
        <v>-58740</v>
      </c>
      <c r="N56" s="89">
        <f t="shared" si="4"/>
        <v>-1</v>
      </c>
    </row>
    <row r="57" spans="1:14" outlineLevel="1">
      <c r="A57" s="101" t="s">
        <v>274</v>
      </c>
      <c r="B57" s="78" t="s">
        <v>275</v>
      </c>
      <c r="C57" s="91"/>
      <c r="D57" s="92"/>
      <c r="E57" s="89">
        <f>-E!B151</f>
        <v>0</v>
      </c>
      <c r="F57" s="89"/>
      <c r="G57" s="326">
        <f t="shared" si="1"/>
        <v>0</v>
      </c>
      <c r="H57" s="81">
        <f>-E!B299</f>
        <v>0</v>
      </c>
      <c r="I57" s="326">
        <f t="shared" si="2"/>
        <v>0</v>
      </c>
      <c r="J57" s="81">
        <v>0</v>
      </c>
      <c r="K57" s="336">
        <f t="shared" si="12"/>
        <v>0</v>
      </c>
      <c r="L57" s="239"/>
      <c r="M57" s="81">
        <f t="shared" si="3"/>
        <v>0</v>
      </c>
      <c r="N57" s="81" t="str">
        <f t="shared" si="4"/>
        <v/>
      </c>
    </row>
    <row r="58" spans="1:14" outlineLevel="1">
      <c r="A58" s="101">
        <v>7602.7602999999999</v>
      </c>
      <c r="B58" s="78" t="s">
        <v>276</v>
      </c>
      <c r="C58" s="91"/>
      <c r="D58" s="92"/>
      <c r="E58" s="89">
        <f>-E!B152</f>
        <v>0</v>
      </c>
      <c r="F58" s="89"/>
      <c r="G58" s="326">
        <f t="shared" si="1"/>
        <v>0</v>
      </c>
      <c r="H58" s="89">
        <f>-E!B300</f>
        <v>0</v>
      </c>
      <c r="I58" s="326">
        <f t="shared" si="2"/>
        <v>0</v>
      </c>
      <c r="J58" s="81">
        <f>-E!B447</f>
        <v>0</v>
      </c>
      <c r="K58" s="336">
        <f t="shared" si="12"/>
        <v>0</v>
      </c>
      <c r="L58" s="239"/>
      <c r="M58" s="81">
        <f t="shared" si="3"/>
        <v>0</v>
      </c>
      <c r="N58" s="81" t="str">
        <f t="shared" si="4"/>
        <v/>
      </c>
    </row>
    <row r="59" spans="1:14" outlineLevel="1">
      <c r="A59" s="100"/>
      <c r="B59" s="78" t="s">
        <v>277</v>
      </c>
      <c r="C59" s="91"/>
      <c r="D59" s="92"/>
      <c r="E59" s="89">
        <v>21806.58</v>
      </c>
      <c r="F59" s="89"/>
      <c r="G59" s="326">
        <f t="shared" si="1"/>
        <v>2.0860579624190669E-2</v>
      </c>
      <c r="H59" s="89">
        <v>28872.02</v>
      </c>
      <c r="I59" s="326">
        <f t="shared" si="2"/>
        <v>2.09462808073059E-2</v>
      </c>
      <c r="J59" s="81">
        <v>29849.31</v>
      </c>
      <c r="K59" s="336">
        <f t="shared" si="12"/>
        <v>2.1238679219896164E-2</v>
      </c>
      <c r="L59" s="239"/>
      <c r="M59" s="89">
        <f t="shared" si="3"/>
        <v>-28872.02</v>
      </c>
      <c r="N59" s="89">
        <f t="shared" si="4"/>
        <v>-1</v>
      </c>
    </row>
    <row r="60" spans="1:14" ht="15.6" outlineLevel="1">
      <c r="A60" s="101" t="s">
        <v>278</v>
      </c>
      <c r="B60" s="78" t="s">
        <v>279</v>
      </c>
      <c r="C60" s="91"/>
      <c r="D60" s="92"/>
      <c r="E60" s="81">
        <f>-E!B153</f>
        <v>0</v>
      </c>
      <c r="F60" s="81"/>
      <c r="G60" s="325">
        <f t="shared" si="1"/>
        <v>0</v>
      </c>
      <c r="H60" s="81">
        <f>-E!B301</f>
        <v>0</v>
      </c>
      <c r="I60" s="325">
        <f t="shared" si="2"/>
        <v>0</v>
      </c>
      <c r="J60" s="81">
        <f>-E!B448</f>
        <v>0</v>
      </c>
      <c r="K60" s="334">
        <f t="shared" si="12"/>
        <v>0</v>
      </c>
      <c r="L60" s="239"/>
      <c r="M60" s="81">
        <f t="shared" si="3"/>
        <v>0</v>
      </c>
      <c r="N60" s="81" t="str">
        <f t="shared" si="4"/>
        <v/>
      </c>
    </row>
    <row r="61" spans="1:14" ht="15.6" outlineLevel="1">
      <c r="A61" s="101" t="s">
        <v>280</v>
      </c>
      <c r="B61" s="78" t="s">
        <v>281</v>
      </c>
      <c r="C61" s="91"/>
      <c r="D61" s="92"/>
      <c r="E61" s="81">
        <f>-E!B154</f>
        <v>0</v>
      </c>
      <c r="F61" s="81"/>
      <c r="G61" s="325">
        <f t="shared" si="1"/>
        <v>0</v>
      </c>
      <c r="H61" s="81">
        <v>0</v>
      </c>
      <c r="I61" s="325">
        <f t="shared" si="2"/>
        <v>0</v>
      </c>
      <c r="J61" s="81">
        <f>-E!B449</f>
        <v>0</v>
      </c>
      <c r="K61" s="334">
        <f t="shared" si="12"/>
        <v>0</v>
      </c>
      <c r="L61" s="239"/>
      <c r="M61" s="81">
        <f t="shared" si="3"/>
        <v>0</v>
      </c>
      <c r="N61" s="81" t="str">
        <f t="shared" si="4"/>
        <v/>
      </c>
    </row>
    <row r="62" spans="1:14" outlineLevel="1">
      <c r="A62" s="101"/>
      <c r="B62" s="78" t="s">
        <v>1327</v>
      </c>
      <c r="C62" s="91"/>
      <c r="D62" s="92"/>
      <c r="E62" s="81">
        <f>-E!B155</f>
        <v>0</v>
      </c>
      <c r="F62" s="81"/>
      <c r="G62" s="325">
        <f t="shared" si="1"/>
        <v>0</v>
      </c>
      <c r="H62" s="81">
        <f>-E!B519</f>
        <v>0</v>
      </c>
      <c r="I62" s="325">
        <f t="shared" si="2"/>
        <v>0</v>
      </c>
      <c r="J62" s="81">
        <f>-E!B533</f>
        <v>0</v>
      </c>
      <c r="K62" s="334"/>
      <c r="L62" s="239"/>
      <c r="M62" s="81">
        <f t="shared" ref="M62" si="13">+F62-H62</f>
        <v>0</v>
      </c>
      <c r="N62" s="81" t="str">
        <f t="shared" ref="N62" si="14">IF(ISERROR(+(F62-H62)/H62)=TRUE,"",(F62-H62)/H62)</f>
        <v/>
      </c>
    </row>
    <row r="63" spans="1:14">
      <c r="A63" s="72"/>
      <c r="B63" s="73" t="s">
        <v>282</v>
      </c>
      <c r="C63" s="74"/>
      <c r="D63" s="75"/>
      <c r="E63" s="86">
        <f>SUM(E64:E66)</f>
        <v>-777.14</v>
      </c>
      <c r="F63" s="86"/>
      <c r="G63" s="311">
        <f t="shared" si="1"/>
        <v>-7.4342656432799345E-4</v>
      </c>
      <c r="H63" s="86">
        <f>SUM(H64:H66)</f>
        <v>-4616.5</v>
      </c>
      <c r="I63" s="311">
        <f t="shared" si="2"/>
        <v>-3.3492116362806509E-3</v>
      </c>
      <c r="J63" s="86">
        <f>SUM(J64:J66)</f>
        <v>-3738</v>
      </c>
      <c r="K63" s="335">
        <f t="shared" si="12"/>
        <v>-2.6596990993752239E-3</v>
      </c>
      <c r="L63" s="238"/>
      <c r="M63" s="86">
        <f t="shared" si="3"/>
        <v>4616.5</v>
      </c>
      <c r="N63" s="86">
        <f t="shared" si="4"/>
        <v>-1</v>
      </c>
    </row>
    <row r="64" spans="1:14" ht="23.4" outlineLevel="1">
      <c r="A64" s="101" t="s">
        <v>283</v>
      </c>
      <c r="B64" s="78" t="s">
        <v>284</v>
      </c>
      <c r="C64" s="91"/>
      <c r="D64" s="92"/>
      <c r="E64" s="81">
        <v>0</v>
      </c>
      <c r="F64" s="81"/>
      <c r="G64" s="325">
        <f t="shared" si="1"/>
        <v>0</v>
      </c>
      <c r="H64" s="81">
        <v>0</v>
      </c>
      <c r="I64" s="325">
        <f t="shared" si="2"/>
        <v>0</v>
      </c>
      <c r="J64" s="81">
        <f>-E!B450</f>
        <v>0</v>
      </c>
      <c r="K64" s="334">
        <f t="shared" si="12"/>
        <v>0</v>
      </c>
      <c r="L64" s="239"/>
      <c r="M64" s="81">
        <f t="shared" si="3"/>
        <v>0</v>
      </c>
      <c r="N64" s="81" t="str">
        <f t="shared" si="4"/>
        <v/>
      </c>
    </row>
    <row r="65" spans="1:14" ht="31.2" outlineLevel="1">
      <c r="A65" s="101" t="s">
        <v>285</v>
      </c>
      <c r="B65" s="78" t="s">
        <v>286</v>
      </c>
      <c r="C65" s="91"/>
      <c r="D65" s="92"/>
      <c r="E65" s="81">
        <v>-777.14</v>
      </c>
      <c r="F65" s="81"/>
      <c r="G65" s="325">
        <f t="shared" si="1"/>
        <v>-7.4342656432799345E-4</v>
      </c>
      <c r="H65" s="81">
        <v>-4616.5</v>
      </c>
      <c r="I65" s="325">
        <f t="shared" si="2"/>
        <v>-3.3492116362806509E-3</v>
      </c>
      <c r="J65" s="81">
        <v>-3738</v>
      </c>
      <c r="K65" s="334">
        <f t="shared" si="12"/>
        <v>-2.6596990993752239E-3</v>
      </c>
      <c r="L65" s="239"/>
      <c r="M65" s="81">
        <f t="shared" si="3"/>
        <v>4616.5</v>
      </c>
      <c r="N65" s="81">
        <f t="shared" si="4"/>
        <v>-1</v>
      </c>
    </row>
    <row r="66" spans="1:14" outlineLevel="1">
      <c r="A66" s="102" t="s">
        <v>287</v>
      </c>
      <c r="B66" s="78" t="s">
        <v>288</v>
      </c>
      <c r="C66" s="91"/>
      <c r="D66" s="92"/>
      <c r="E66" s="81">
        <f>-E!B158</f>
        <v>0</v>
      </c>
      <c r="F66" s="81"/>
      <c r="G66" s="325">
        <f t="shared" si="1"/>
        <v>0</v>
      </c>
      <c r="H66" s="81">
        <f>-E!B305</f>
        <v>0</v>
      </c>
      <c r="I66" s="325">
        <f t="shared" si="2"/>
        <v>0</v>
      </c>
      <c r="J66" s="81">
        <f>-E!B452</f>
        <v>0</v>
      </c>
      <c r="K66" s="334">
        <f t="shared" si="12"/>
        <v>0</v>
      </c>
      <c r="L66" s="239"/>
      <c r="M66" s="81">
        <f t="shared" si="3"/>
        <v>0</v>
      </c>
      <c r="N66" s="81" t="str">
        <f t="shared" si="4"/>
        <v/>
      </c>
    </row>
    <row r="67" spans="1:14">
      <c r="A67" s="72"/>
      <c r="B67" s="94" t="s">
        <v>289</v>
      </c>
      <c r="C67" s="74"/>
      <c r="D67" s="75"/>
      <c r="E67" s="86">
        <f>SUM(E68:E69)</f>
        <v>0</v>
      </c>
      <c r="F67" s="86"/>
      <c r="G67" s="311">
        <f t="shared" si="1"/>
        <v>0</v>
      </c>
      <c r="H67" s="86">
        <f>SUM(H68:H69)</f>
        <v>0</v>
      </c>
      <c r="I67" s="311">
        <f t="shared" si="2"/>
        <v>0</v>
      </c>
      <c r="J67" s="86">
        <f>SUM(J68:J69)</f>
        <v>0</v>
      </c>
      <c r="K67" s="335">
        <f t="shared" si="12"/>
        <v>0</v>
      </c>
      <c r="L67" s="238"/>
      <c r="M67" s="86">
        <f t="shared" si="3"/>
        <v>0</v>
      </c>
      <c r="N67" s="86" t="str">
        <f t="shared" si="4"/>
        <v/>
      </c>
    </row>
    <row r="68" spans="1:14" ht="15.6" outlineLevel="1">
      <c r="A68" s="101" t="s">
        <v>290</v>
      </c>
      <c r="B68" s="78" t="s">
        <v>291</v>
      </c>
      <c r="C68" s="91"/>
      <c r="D68" s="92"/>
      <c r="E68" s="81">
        <v>0</v>
      </c>
      <c r="F68" s="81"/>
      <c r="G68" s="325">
        <f t="shared" si="1"/>
        <v>0</v>
      </c>
      <c r="H68" s="81">
        <v>0</v>
      </c>
      <c r="I68" s="325">
        <f t="shared" si="2"/>
        <v>0</v>
      </c>
      <c r="J68" s="81">
        <f>-E!B454</f>
        <v>0</v>
      </c>
      <c r="K68" s="334">
        <f t="shared" si="12"/>
        <v>0</v>
      </c>
      <c r="L68" s="239"/>
      <c r="M68" s="81">
        <f t="shared" si="3"/>
        <v>0</v>
      </c>
      <c r="N68" s="81" t="str">
        <f t="shared" si="4"/>
        <v/>
      </c>
    </row>
    <row r="69" spans="1:14" outlineLevel="1">
      <c r="A69" s="101" t="s">
        <v>292</v>
      </c>
      <c r="B69" s="78" t="s">
        <v>293</v>
      </c>
      <c r="C69" s="91"/>
      <c r="D69" s="92"/>
      <c r="E69" s="81">
        <f>-E!B161</f>
        <v>0</v>
      </c>
      <c r="F69" s="81"/>
      <c r="G69" s="325">
        <f t="shared" si="1"/>
        <v>0</v>
      </c>
      <c r="H69" s="81">
        <f>-E!B308</f>
        <v>0</v>
      </c>
      <c r="I69" s="325">
        <f t="shared" si="2"/>
        <v>0</v>
      </c>
      <c r="J69" s="81">
        <f>-E!B455</f>
        <v>0</v>
      </c>
      <c r="K69" s="334">
        <f t="shared" si="12"/>
        <v>0</v>
      </c>
      <c r="L69" s="239"/>
      <c r="M69" s="81">
        <f t="shared" si="3"/>
        <v>0</v>
      </c>
      <c r="N69" s="81" t="str">
        <f t="shared" si="4"/>
        <v/>
      </c>
    </row>
    <row r="70" spans="1:14">
      <c r="A70" s="103" t="s">
        <v>294</v>
      </c>
      <c r="B70" s="73" t="s">
        <v>295</v>
      </c>
      <c r="C70" s="74"/>
      <c r="D70" s="75"/>
      <c r="E70" s="86">
        <f>-E!B162</f>
        <v>0</v>
      </c>
      <c r="F70" s="86"/>
      <c r="G70" s="311">
        <f t="shared" si="1"/>
        <v>0</v>
      </c>
      <c r="H70" s="86">
        <v>0</v>
      </c>
      <c r="I70" s="311">
        <f t="shared" si="2"/>
        <v>0</v>
      </c>
      <c r="J70" s="86">
        <f>-E!B456</f>
        <v>0</v>
      </c>
      <c r="K70" s="335">
        <f t="shared" si="12"/>
        <v>0</v>
      </c>
      <c r="L70" s="238"/>
      <c r="M70" s="86">
        <f t="shared" si="3"/>
        <v>0</v>
      </c>
      <c r="N70" s="86" t="str">
        <f t="shared" si="4"/>
        <v/>
      </c>
    </row>
    <row r="71" spans="1:14">
      <c r="A71" s="72"/>
      <c r="B71" s="94" t="s">
        <v>296</v>
      </c>
      <c r="C71" s="74"/>
      <c r="D71" s="75"/>
      <c r="E71" s="86">
        <f>SUM(E72:E73)</f>
        <v>0</v>
      </c>
      <c r="F71" s="86"/>
      <c r="G71" s="311">
        <f t="shared" si="1"/>
        <v>0</v>
      </c>
      <c r="H71" s="86">
        <f>SUM(H72:H73)</f>
        <v>0</v>
      </c>
      <c r="I71" s="311">
        <f t="shared" si="2"/>
        <v>0</v>
      </c>
      <c r="J71" s="86">
        <f>SUM(J72:J73)</f>
        <v>0</v>
      </c>
      <c r="K71" s="335">
        <f t="shared" si="12"/>
        <v>0</v>
      </c>
      <c r="L71" s="238"/>
      <c r="M71" s="86">
        <f t="shared" si="3"/>
        <v>0</v>
      </c>
      <c r="N71" s="86" t="str">
        <f t="shared" si="4"/>
        <v/>
      </c>
    </row>
    <row r="72" spans="1:14" ht="15.6" outlineLevel="1">
      <c r="A72" s="101" t="s">
        <v>297</v>
      </c>
      <c r="B72" s="78" t="s">
        <v>298</v>
      </c>
      <c r="C72" s="91"/>
      <c r="D72" s="92"/>
      <c r="E72" s="81">
        <f>-E!B163</f>
        <v>0</v>
      </c>
      <c r="F72" s="81"/>
      <c r="G72" s="325">
        <f t="shared" si="1"/>
        <v>0</v>
      </c>
      <c r="H72" s="81">
        <f>-E!B310</f>
        <v>0</v>
      </c>
      <c r="I72" s="325">
        <f t="shared" si="2"/>
        <v>0</v>
      </c>
      <c r="J72" s="81">
        <f>-E!B457</f>
        <v>0</v>
      </c>
      <c r="K72" s="334">
        <f t="shared" si="12"/>
        <v>0</v>
      </c>
      <c r="L72" s="239"/>
      <c r="M72" s="81">
        <f t="shared" si="3"/>
        <v>0</v>
      </c>
      <c r="N72" s="81" t="str">
        <f t="shared" si="4"/>
        <v/>
      </c>
    </row>
    <row r="73" spans="1:14" ht="15.6" outlineLevel="1">
      <c r="A73" s="101" t="s">
        <v>299</v>
      </c>
      <c r="B73" s="78" t="s">
        <v>270</v>
      </c>
      <c r="C73" s="91"/>
      <c r="D73" s="92"/>
      <c r="E73" s="81">
        <f>-E!B164</f>
        <v>0</v>
      </c>
      <c r="F73" s="81"/>
      <c r="G73" s="325">
        <f t="shared" si="1"/>
        <v>0</v>
      </c>
      <c r="H73" s="81">
        <f>-E!B311</f>
        <v>0</v>
      </c>
      <c r="I73" s="325">
        <f t="shared" si="2"/>
        <v>0</v>
      </c>
      <c r="J73" s="81">
        <f>-E!B458</f>
        <v>0</v>
      </c>
      <c r="K73" s="334">
        <f t="shared" si="12"/>
        <v>0</v>
      </c>
      <c r="L73" s="239"/>
      <c r="M73" s="81">
        <f t="shared" si="3"/>
        <v>0</v>
      </c>
      <c r="N73" s="81" t="str">
        <f t="shared" si="4"/>
        <v/>
      </c>
    </row>
    <row r="74" spans="1:14">
      <c r="A74" s="101"/>
      <c r="B74" s="104" t="s">
        <v>300</v>
      </c>
      <c r="C74" s="91"/>
      <c r="D74" s="92"/>
      <c r="E74" s="86">
        <f>SUM(E75:E77)</f>
        <v>0</v>
      </c>
      <c r="F74" s="86"/>
      <c r="G74" s="311">
        <f t="shared" si="1"/>
        <v>0</v>
      </c>
      <c r="H74" s="86">
        <f>SUM(H75:H77)</f>
        <v>0</v>
      </c>
      <c r="I74" s="311">
        <f t="shared" si="2"/>
        <v>0</v>
      </c>
      <c r="J74" s="86">
        <f>SUM(J75:J77)</f>
        <v>0</v>
      </c>
      <c r="K74" s="335">
        <f t="shared" si="12"/>
        <v>0</v>
      </c>
      <c r="L74" s="238"/>
      <c r="M74" s="86">
        <f t="shared" si="3"/>
        <v>0</v>
      </c>
      <c r="N74" s="86" t="str">
        <f t="shared" si="4"/>
        <v/>
      </c>
    </row>
    <row r="75" spans="1:14">
      <c r="A75" s="101"/>
      <c r="B75" s="78" t="s">
        <v>1331</v>
      </c>
      <c r="C75" s="91"/>
      <c r="D75" s="92"/>
      <c r="E75" s="81">
        <f>-E!B539</f>
        <v>0</v>
      </c>
      <c r="F75" s="81"/>
      <c r="G75" s="325">
        <f t="shared" si="1"/>
        <v>0</v>
      </c>
      <c r="H75" s="81">
        <f>-E!B520</f>
        <v>0</v>
      </c>
      <c r="I75" s="325">
        <f t="shared" si="2"/>
        <v>0</v>
      </c>
      <c r="J75" s="81">
        <f>-E!B534</f>
        <v>0</v>
      </c>
      <c r="K75" s="334">
        <f t="shared" si="12"/>
        <v>0</v>
      </c>
      <c r="L75" s="239"/>
      <c r="M75" s="81">
        <f t="shared" ref="M75:M77" si="15">+F75-H75</f>
        <v>0</v>
      </c>
      <c r="N75" s="81" t="str">
        <f t="shared" ref="N75:N77" si="16">IF(ISERROR(+(F75-H75)/H75)=TRUE,"",(F75-H75)/H75)</f>
        <v/>
      </c>
    </row>
    <row r="76" spans="1:14">
      <c r="A76" s="101"/>
      <c r="B76" s="78" t="s">
        <v>1332</v>
      </c>
      <c r="C76" s="91"/>
      <c r="D76" s="92"/>
      <c r="E76" s="81">
        <f>-E!B540</f>
        <v>0</v>
      </c>
      <c r="F76" s="81"/>
      <c r="G76" s="325">
        <f t="shared" si="1"/>
        <v>0</v>
      </c>
      <c r="H76" s="81">
        <f>-E!B521</f>
        <v>0</v>
      </c>
      <c r="I76" s="325">
        <f t="shared" si="2"/>
        <v>0</v>
      </c>
      <c r="J76" s="81">
        <f>-E!B535</f>
        <v>0</v>
      </c>
      <c r="K76" s="334">
        <f t="shared" si="12"/>
        <v>0</v>
      </c>
      <c r="L76" s="239"/>
      <c r="M76" s="81">
        <f t="shared" si="15"/>
        <v>0</v>
      </c>
      <c r="N76" s="81" t="str">
        <f t="shared" si="16"/>
        <v/>
      </c>
    </row>
    <row r="77" spans="1:14">
      <c r="A77" s="101"/>
      <c r="B77" s="78" t="s">
        <v>1333</v>
      </c>
      <c r="C77" s="91"/>
      <c r="D77" s="92"/>
      <c r="E77" s="81">
        <f>-E!B541</f>
        <v>0</v>
      </c>
      <c r="F77" s="81"/>
      <c r="G77" s="325">
        <f t="shared" si="1"/>
        <v>0</v>
      </c>
      <c r="H77" s="81">
        <f>-E!B522</f>
        <v>0</v>
      </c>
      <c r="I77" s="325">
        <f t="shared" si="2"/>
        <v>0</v>
      </c>
      <c r="J77" s="81">
        <f>-E!B536</f>
        <v>0</v>
      </c>
      <c r="K77" s="334">
        <f t="shared" si="12"/>
        <v>0</v>
      </c>
      <c r="L77" s="239"/>
      <c r="M77" s="81">
        <f t="shared" si="15"/>
        <v>0</v>
      </c>
      <c r="N77" s="81" t="str">
        <f t="shared" si="16"/>
        <v/>
      </c>
    </row>
    <row r="78" spans="1:14" ht="26.4">
      <c r="A78" s="95"/>
      <c r="B78" s="96" t="s">
        <v>615</v>
      </c>
      <c r="C78" s="97"/>
      <c r="D78" s="98"/>
      <c r="E78" s="99">
        <f>+E74+E71+E70+E67+E63+E55</f>
        <v>21230.140000000003</v>
      </c>
      <c r="F78" s="99"/>
      <c r="G78" s="327">
        <f t="shared" si="1"/>
        <v>2.030914640914418E-2</v>
      </c>
      <c r="H78" s="99">
        <f>+H74+H71+H70+H67+H63+H55</f>
        <v>82995.520000000004</v>
      </c>
      <c r="I78" s="327">
        <f t="shared" si="2"/>
        <v>6.0212187012490745E-2</v>
      </c>
      <c r="J78" s="99">
        <f>+J74+J71+J70+J67+J63+J55</f>
        <v>121395.81999999999</v>
      </c>
      <c r="K78" s="337">
        <f t="shared" si="12"/>
        <v>8.6376766485263975E-2</v>
      </c>
      <c r="L78" s="238"/>
      <c r="M78" s="99">
        <f t="shared" si="3"/>
        <v>-82995.520000000004</v>
      </c>
      <c r="N78" s="99">
        <f t="shared" si="4"/>
        <v>-1</v>
      </c>
    </row>
    <row r="79" spans="1:14" ht="26.4">
      <c r="A79" s="105"/>
      <c r="B79" s="106" t="s">
        <v>301</v>
      </c>
      <c r="C79" s="107"/>
      <c r="D79" s="108"/>
      <c r="E79" s="109">
        <f>+E78+E54</f>
        <v>16287.790000000026</v>
      </c>
      <c r="F79" s="109"/>
      <c r="G79" s="328">
        <f t="shared" si="1"/>
        <v>1.5581202563496755E-2</v>
      </c>
      <c r="H79" s="109">
        <f>+H78+H54</f>
        <v>115898.96000000018</v>
      </c>
      <c r="I79" s="328">
        <f t="shared" si="2"/>
        <v>8.4083211407955452E-2</v>
      </c>
      <c r="J79" s="109">
        <f>+J78+J54</f>
        <v>27854.930000000095</v>
      </c>
      <c r="K79" s="338">
        <f t="shared" si="12"/>
        <v>1.9819618040171256E-2</v>
      </c>
      <c r="L79" s="238"/>
      <c r="M79" s="109">
        <f t="shared" si="3"/>
        <v>-115898.96000000018</v>
      </c>
      <c r="N79" s="109">
        <f t="shared" si="4"/>
        <v>-1</v>
      </c>
    </row>
    <row r="80" spans="1:14" ht="26.4">
      <c r="A80" s="103" t="s">
        <v>302</v>
      </c>
      <c r="B80" s="73" t="s">
        <v>303</v>
      </c>
      <c r="C80" s="74"/>
      <c r="D80" s="75"/>
      <c r="E80" s="86">
        <v>-891.66</v>
      </c>
      <c r="F80" s="86"/>
      <c r="G80" s="311">
        <f t="shared" si="1"/>
        <v>-8.5297852426679697E-4</v>
      </c>
      <c r="H80" s="86">
        <v>-11254.69</v>
      </c>
      <c r="I80" s="311">
        <f t="shared" si="2"/>
        <v>-8.1651334800674717E-3</v>
      </c>
      <c r="J80" s="86">
        <v>225.03</v>
      </c>
      <c r="K80" s="335">
        <f t="shared" si="12"/>
        <v>1.601155934543624E-4</v>
      </c>
      <c r="L80" s="238"/>
      <c r="M80" s="86">
        <f t="shared" si="3"/>
        <v>11254.69</v>
      </c>
      <c r="N80" s="86">
        <f t="shared" si="4"/>
        <v>-1</v>
      </c>
    </row>
    <row r="81" spans="1:14" ht="39.6">
      <c r="A81" s="105"/>
      <c r="B81" s="106" t="s">
        <v>616</v>
      </c>
      <c r="C81" s="107"/>
      <c r="D81" s="108"/>
      <c r="E81" s="109">
        <f>+E79+E80</f>
        <v>15396.130000000026</v>
      </c>
      <c r="F81" s="109"/>
      <c r="G81" s="328">
        <f t="shared" si="1"/>
        <v>1.4728224039229958E-2</v>
      </c>
      <c r="H81" s="109">
        <f>+H79+H80</f>
        <v>104644.27000000018</v>
      </c>
      <c r="I81" s="328">
        <f t="shared" si="2"/>
        <v>7.5918077927887975E-2</v>
      </c>
      <c r="J81" s="109">
        <f>+J79+J80</f>
        <v>28079.960000000094</v>
      </c>
      <c r="K81" s="338">
        <f t="shared" si="12"/>
        <v>1.9979733633625617E-2</v>
      </c>
      <c r="L81" s="238"/>
      <c r="M81" s="109">
        <f t="shared" si="3"/>
        <v>-104644.27000000018</v>
      </c>
      <c r="N81" s="109">
        <f t="shared" si="4"/>
        <v>-1</v>
      </c>
    </row>
    <row r="82" spans="1:14" ht="15.6">
      <c r="A82" s="286"/>
      <c r="B82" s="287" t="s">
        <v>304</v>
      </c>
      <c r="C82" s="288"/>
      <c r="D82" s="289"/>
      <c r="E82" s="290"/>
      <c r="F82" s="413"/>
      <c r="G82" s="329">
        <f t="shared" si="1"/>
        <v>0</v>
      </c>
      <c r="H82" s="290"/>
      <c r="I82" s="329">
        <f t="shared" si="2"/>
        <v>0</v>
      </c>
      <c r="J82" s="290"/>
      <c r="K82" s="339">
        <f t="shared" si="12"/>
        <v>0</v>
      </c>
      <c r="L82" s="240"/>
      <c r="M82" s="290">
        <f t="shared" si="3"/>
        <v>0</v>
      </c>
      <c r="N82" s="290" t="str">
        <f t="shared" si="4"/>
        <v/>
      </c>
    </row>
    <row r="83" spans="1:14">
      <c r="A83" s="72"/>
      <c r="B83" s="94" t="s">
        <v>305</v>
      </c>
      <c r="C83" s="74"/>
      <c r="D83" s="75"/>
      <c r="E83" s="86">
        <f>-E!B166</f>
        <v>0</v>
      </c>
      <c r="F83" s="86"/>
      <c r="G83" s="311">
        <f t="shared" si="1"/>
        <v>0</v>
      </c>
      <c r="H83" s="86">
        <f>-E!B313</f>
        <v>0</v>
      </c>
      <c r="I83" s="311">
        <f t="shared" si="2"/>
        <v>0</v>
      </c>
      <c r="J83" s="86">
        <f>-E!B460</f>
        <v>0</v>
      </c>
      <c r="K83" s="335">
        <f t="shared" si="12"/>
        <v>0</v>
      </c>
      <c r="L83" s="238"/>
      <c r="M83" s="86">
        <f t="shared" si="3"/>
        <v>0</v>
      </c>
      <c r="N83" s="86" t="str">
        <f t="shared" si="4"/>
        <v/>
      </c>
    </row>
    <row r="84" spans="1:14" ht="13.8" thickBot="1">
      <c r="A84" s="110"/>
      <c r="B84" s="111" t="s">
        <v>617</v>
      </c>
      <c r="C84" s="112"/>
      <c r="D84" s="113"/>
      <c r="E84" s="114">
        <f>+E81+E83</f>
        <v>15396.130000000026</v>
      </c>
      <c r="F84" s="114"/>
      <c r="G84" s="330">
        <f t="shared" ref="G84" si="17">+E84/$E$21</f>
        <v>1.4728224039229958E-2</v>
      </c>
      <c r="H84" s="114">
        <f>+H81+H83</f>
        <v>104644.27000000018</v>
      </c>
      <c r="I84" s="330">
        <f t="shared" ref="I84" si="18">+H84/$H$21</f>
        <v>7.5918077927887975E-2</v>
      </c>
      <c r="J84" s="114">
        <f>+J81+J83</f>
        <v>28079.960000000094</v>
      </c>
      <c r="K84" s="340">
        <f t="shared" ref="K84" si="19">+J84/$J$21</f>
        <v>1.9979733633625617E-2</v>
      </c>
      <c r="L84" s="238"/>
      <c r="M84" s="114">
        <f t="shared" ref="M84" si="20">+F84-H84</f>
        <v>-104644.27000000018</v>
      </c>
      <c r="N84" s="114">
        <f t="shared" ref="N84" si="21">IF(ISERROR(+(F84-H84)/H84)=TRUE,"",(F84-H84)/H84)</f>
        <v>-1</v>
      </c>
    </row>
    <row r="85" spans="1:14">
      <c r="A85" s="72"/>
      <c r="B85" s="94" t="s">
        <v>1410</v>
      </c>
      <c r="C85" s="74"/>
      <c r="D85" s="75"/>
      <c r="E85" s="86">
        <v>0</v>
      </c>
      <c r="F85" s="86"/>
      <c r="G85" s="311">
        <v>0</v>
      </c>
      <c r="H85" s="86">
        <v>0</v>
      </c>
      <c r="I85" s="311">
        <v>0</v>
      </c>
      <c r="J85" s="86">
        <v>-4002.97</v>
      </c>
      <c r="K85" s="335">
        <v>0</v>
      </c>
      <c r="L85" s="238"/>
      <c r="M85" s="86"/>
      <c r="N85" s="86"/>
    </row>
    <row r="86" spans="1:14" ht="13.8" thickBot="1">
      <c r="A86" s="110"/>
      <c r="B86" s="111" t="s">
        <v>617</v>
      </c>
      <c r="C86" s="112"/>
      <c r="D86" s="113"/>
      <c r="E86" s="114">
        <f>+E84+E85</f>
        <v>15396.130000000026</v>
      </c>
      <c r="F86" s="114"/>
      <c r="G86" s="330">
        <f t="shared" si="1"/>
        <v>1.4728224039229958E-2</v>
      </c>
      <c r="H86" s="114">
        <f>+H84+H85</f>
        <v>104644.27000000018</v>
      </c>
      <c r="I86" s="330">
        <f t="shared" si="2"/>
        <v>7.5918077927887975E-2</v>
      </c>
      <c r="J86" s="114">
        <f>+J84+J85</f>
        <v>24076.990000000093</v>
      </c>
      <c r="K86" s="340">
        <f t="shared" si="12"/>
        <v>1.7131500433030099E-2</v>
      </c>
      <c r="L86" s="238"/>
      <c r="M86" s="114">
        <f t="shared" si="3"/>
        <v>-104644.27000000018</v>
      </c>
      <c r="N86" s="114">
        <f t="shared" si="4"/>
        <v>-1</v>
      </c>
    </row>
    <row r="88" spans="1:14" ht="15.6">
      <c r="A88" s="471" t="s">
        <v>38</v>
      </c>
      <c r="B88" s="471"/>
      <c r="C88" s="471"/>
      <c r="D88" s="471"/>
      <c r="E88" s="471"/>
      <c r="F88" s="471"/>
      <c r="G88" s="471"/>
      <c r="H88" s="471"/>
      <c r="I88" s="471"/>
      <c r="J88" s="471"/>
      <c r="K88" s="471"/>
      <c r="L88" s="471"/>
      <c r="M88" s="471"/>
      <c r="N88" s="471"/>
    </row>
    <row r="89" spans="1:14">
      <c r="A89" s="29" t="s">
        <v>1173</v>
      </c>
      <c r="B89" s="29"/>
      <c r="C89" s="29"/>
      <c r="D89" s="29"/>
      <c r="E89" s="29"/>
      <c r="F89" s="29"/>
      <c r="G89" s="29"/>
      <c r="H89" s="30"/>
      <c r="I89" s="31"/>
      <c r="J89" s="30"/>
      <c r="K89" s="31"/>
      <c r="L89" s="217"/>
      <c r="M89" s="31"/>
      <c r="N89" s="31"/>
    </row>
    <row r="90" spans="1:14">
      <c r="A90" s="541" t="s">
        <v>941</v>
      </c>
      <c r="B90" s="541"/>
      <c r="C90" s="541"/>
      <c r="D90" s="541"/>
      <c r="E90" s="541"/>
      <c r="F90" s="541"/>
      <c r="G90" s="541"/>
      <c r="H90" s="541"/>
      <c r="I90" s="541"/>
      <c r="J90" s="541"/>
      <c r="K90" s="541"/>
      <c r="L90" s="541"/>
      <c r="M90" s="541"/>
      <c r="N90" s="541"/>
    </row>
    <row r="92" spans="1:14">
      <c r="A92" s="6" t="s">
        <v>1411</v>
      </c>
    </row>
    <row r="93" spans="1:14">
      <c r="A93" s="142"/>
    </row>
  </sheetData>
  <mergeCells count="11">
    <mergeCell ref="B1:H1"/>
    <mergeCell ref="E18:F18"/>
    <mergeCell ref="A88:N88"/>
    <mergeCell ref="A90:N90"/>
    <mergeCell ref="C19:D19"/>
    <mergeCell ref="B2:D2"/>
    <mergeCell ref="A4:D4"/>
    <mergeCell ref="A8:N8"/>
    <mergeCell ref="A12:N12"/>
    <mergeCell ref="J6:K6"/>
    <mergeCell ref="A3:K3"/>
  </mergeCells>
  <printOptions horizontalCentered="1"/>
  <pageMargins left="0.39370078740157483" right="0.39370078740157483" top="0.59055118110236227" bottom="0.39370078740157483" header="0.39370078740157483" footer="0"/>
  <pageSetup paperSize="9" scale="40" orientation="landscape" horizontalDpi="1200" verticalDpi="1200" r:id="rId1"/>
  <headerFooter alignWithMargins="0">
    <oddFooter>Página &amp;P de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9"/>
  <dimension ref="A1:U163"/>
  <sheetViews>
    <sheetView showGridLines="0" topLeftCell="A13" zoomScale="90" zoomScaleNormal="90" workbookViewId="0">
      <selection activeCell="I31" sqref="I31"/>
    </sheetView>
  </sheetViews>
  <sheetFormatPr baseColWidth="10" defaultColWidth="11.44140625" defaultRowHeight="13.2"/>
  <cols>
    <col min="1" max="1" width="18.109375" style="10" customWidth="1"/>
    <col min="2" max="2" width="34.5546875" style="10" customWidth="1"/>
    <col min="3" max="3" width="23.44140625" style="10" customWidth="1"/>
    <col min="4" max="4" width="21.44140625" style="10" customWidth="1"/>
    <col min="5" max="5" width="24" style="10" customWidth="1"/>
    <col min="6" max="6" width="11.44140625" style="10"/>
    <col min="7" max="7" width="8.44140625" style="10" hidden="1" customWidth="1"/>
    <col min="8" max="8" width="7.6640625" style="10" bestFit="1" customWidth="1"/>
    <col min="9" max="9" width="11.44140625" style="10" customWidth="1"/>
    <col min="10" max="10" width="7.6640625" style="10" bestFit="1" customWidth="1"/>
    <col min="11" max="13" width="7.6640625" style="10" hidden="1" customWidth="1"/>
    <col min="14" max="14" width="11.5546875" style="196" customWidth="1"/>
    <col min="15" max="19" width="11.44140625" style="196"/>
    <col min="20" max="20" width="11.44140625" style="186"/>
    <col min="21" max="16384" width="11.44140625" style="10"/>
  </cols>
  <sheetData>
    <row r="1" spans="1:20" s="6" customFormat="1" ht="19.5" customHeight="1" thickTop="1">
      <c r="A1" s="115" t="s">
        <v>0</v>
      </c>
      <c r="B1" s="430" t="s">
        <v>1359</v>
      </c>
      <c r="C1" s="431"/>
      <c r="D1" s="4" t="s">
        <v>1</v>
      </c>
      <c r="E1" s="5" t="s">
        <v>2</v>
      </c>
      <c r="F1" s="10"/>
      <c r="G1" s="10"/>
      <c r="N1" s="195"/>
      <c r="O1" s="195"/>
      <c r="P1" s="195"/>
      <c r="Q1" s="195"/>
      <c r="R1" s="195"/>
      <c r="S1" s="195"/>
      <c r="T1" s="405"/>
    </row>
    <row r="2" spans="1:20" s="6" customFormat="1" ht="15.6">
      <c r="A2" s="116" t="s">
        <v>3</v>
      </c>
      <c r="B2" s="548">
        <v>43343</v>
      </c>
      <c r="C2" s="565"/>
      <c r="D2" s="268" t="s">
        <v>1358</v>
      </c>
      <c r="E2" s="269" t="str">
        <f>E!B4</f>
        <v>JCG</v>
      </c>
      <c r="F2" s="10"/>
      <c r="G2" s="10"/>
      <c r="N2" s="195"/>
      <c r="O2" s="195"/>
      <c r="P2" s="195"/>
      <c r="Q2" s="195"/>
      <c r="R2" s="195"/>
      <c r="S2" s="195"/>
      <c r="T2" s="405"/>
    </row>
    <row r="3" spans="1:20" s="6" customFormat="1" ht="13.5" customHeight="1">
      <c r="A3" s="490" t="s">
        <v>4</v>
      </c>
      <c r="B3" s="491"/>
      <c r="C3" s="491"/>
      <c r="D3" s="491"/>
      <c r="E3" s="492"/>
      <c r="F3" s="10"/>
      <c r="G3" s="10"/>
      <c r="N3" s="195"/>
      <c r="O3" s="195"/>
      <c r="P3" s="195"/>
      <c r="Q3" s="195"/>
      <c r="R3" s="195"/>
      <c r="S3" s="195"/>
      <c r="T3" s="405"/>
    </row>
    <row r="4" spans="1:20" s="6" customFormat="1" ht="17.25" customHeight="1" thickBot="1">
      <c r="A4" s="566" t="s">
        <v>944</v>
      </c>
      <c r="B4" s="567"/>
      <c r="C4" s="568"/>
      <c r="D4" s="8" t="s">
        <v>5</v>
      </c>
      <c r="E4" s="9" t="s">
        <v>6</v>
      </c>
      <c r="F4" s="10"/>
      <c r="G4" s="10"/>
      <c r="N4" s="195"/>
      <c r="O4" s="195"/>
      <c r="P4" s="195"/>
      <c r="Q4" s="195"/>
      <c r="R4" s="195"/>
      <c r="S4" s="195"/>
      <c r="T4" s="405"/>
    </row>
    <row r="5" spans="1:20" ht="14.4" thickTop="1" thickBot="1"/>
    <row r="6" spans="1:20" ht="13.8" thickBot="1">
      <c r="D6" s="569" t="s">
        <v>948</v>
      </c>
      <c r="E6" s="570"/>
    </row>
    <row r="7" spans="1:20">
      <c r="A7" s="12" t="s">
        <v>39</v>
      </c>
      <c r="B7" s="12"/>
    </row>
    <row r="9" spans="1:20">
      <c r="A9" s="500" t="s">
        <v>1174</v>
      </c>
      <c r="B9" s="500"/>
      <c r="C9" s="500"/>
      <c r="D9" s="500"/>
      <c r="E9" s="500"/>
    </row>
    <row r="10" spans="1:20">
      <c r="A10" s="500"/>
      <c r="B10" s="500"/>
      <c r="C10" s="500"/>
      <c r="D10" s="500"/>
      <c r="E10" s="500"/>
    </row>
    <row r="11" spans="1:20">
      <c r="A11" s="26"/>
      <c r="B11" s="26"/>
      <c r="C11" s="26"/>
      <c r="D11" s="26"/>
      <c r="E11" s="26"/>
    </row>
    <row r="12" spans="1:20">
      <c r="A12" s="12" t="s">
        <v>41</v>
      </c>
      <c r="B12" s="12"/>
    </row>
    <row r="14" spans="1:20">
      <c r="A14" s="500" t="s">
        <v>306</v>
      </c>
      <c r="B14" s="500"/>
      <c r="C14" s="500"/>
      <c r="D14" s="500"/>
      <c r="E14" s="500"/>
    </row>
    <row r="15" spans="1:20">
      <c r="A15" s="500"/>
      <c r="B15" s="500"/>
      <c r="C15" s="500"/>
      <c r="D15" s="500"/>
      <c r="E15" s="500"/>
    </row>
    <row r="17" spans="1:7">
      <c r="A17" s="200" t="s">
        <v>42</v>
      </c>
      <c r="B17" s="200"/>
    </row>
    <row r="18" spans="1:7">
      <c r="A18" s="200"/>
      <c r="B18" s="200"/>
    </row>
    <row r="19" spans="1:7">
      <c r="A19" s="201" t="s">
        <v>307</v>
      </c>
      <c r="B19" s="201"/>
    </row>
    <row r="20" spans="1:7" ht="13.8" thickBot="1">
      <c r="A20" s="202"/>
      <c r="B20" s="202"/>
      <c r="C20" s="24"/>
      <c r="D20" s="24"/>
      <c r="E20" s="24"/>
    </row>
    <row r="21" spans="1:7" ht="16.2" thickBot="1">
      <c r="A21" s="254"/>
      <c r="B21" s="255"/>
      <c r="C21" s="256" t="str">
        <f>+'AG15.1.1'!M19</f>
        <v>N-2</v>
      </c>
      <c r="D21" s="256" t="str">
        <f>+'AG15.1.1'!K19</f>
        <v>N-1</v>
      </c>
      <c r="E21" s="257" t="str">
        <f>+'AG15.1.1'!I19</f>
        <v>PLANIFICACIÓN</v>
      </c>
    </row>
    <row r="22" spans="1:7" ht="16.2" thickBot="1">
      <c r="A22" s="203"/>
      <c r="B22" s="203"/>
      <c r="C22" s="117"/>
      <c r="D22" s="117"/>
      <c r="E22" s="253" t="b">
        <v>1</v>
      </c>
      <c r="G22" s="10">
        <f>+E!I12</f>
        <v>10</v>
      </c>
    </row>
    <row r="23" spans="1:7" ht="14.4" thickBot="1">
      <c r="A23" s="258" t="s">
        <v>784</v>
      </c>
      <c r="B23" s="259"/>
      <c r="C23" s="260"/>
      <c r="D23" s="260"/>
      <c r="E23" s="261"/>
    </row>
    <row r="24" spans="1:7">
      <c r="A24" s="556" t="s">
        <v>308</v>
      </c>
      <c r="B24" s="557"/>
      <c r="C24" s="118">
        <f>-'AG15.1.2'!J27</f>
        <v>916012.54</v>
      </c>
      <c r="D24" s="118">
        <f>-'AG15.1.2'!H27</f>
        <v>934721.88</v>
      </c>
      <c r="E24" s="118">
        <f>-'AG15.1.2'!J27</f>
        <v>916012.54</v>
      </c>
    </row>
    <row r="25" spans="1:7">
      <c r="A25" s="560" t="s">
        <v>309</v>
      </c>
      <c r="B25" s="553"/>
      <c r="C25" s="119">
        <f>+'AG15.1.2'!J21</f>
        <v>1405422.1400000001</v>
      </c>
      <c r="D25" s="119">
        <f>+'AG15.1.2'!H21</f>
        <v>1378384.08</v>
      </c>
      <c r="E25" s="119">
        <f>+'AG15.1.2'!J21</f>
        <v>1405422.1400000001</v>
      </c>
    </row>
    <row r="26" spans="1:7" ht="15" thickBot="1">
      <c r="A26" s="558" t="s">
        <v>310</v>
      </c>
      <c r="B26" s="559"/>
      <c r="C26" s="120">
        <f>C24/C25</f>
        <v>0.65177039263092862</v>
      </c>
      <c r="D26" s="120">
        <f>D24/D25</f>
        <v>0.67812875494035008</v>
      </c>
      <c r="E26" s="120">
        <f>E24/E25</f>
        <v>0.65177039263092862</v>
      </c>
    </row>
    <row r="27" spans="1:7">
      <c r="A27" s="556" t="s">
        <v>1158</v>
      </c>
      <c r="B27" s="557"/>
      <c r="C27" s="266">
        <f>+E!B11</f>
        <v>69</v>
      </c>
      <c r="D27" s="266">
        <f>+E!B10</f>
        <v>68</v>
      </c>
      <c r="E27" s="266">
        <v>67</v>
      </c>
    </row>
    <row r="28" spans="1:7">
      <c r="A28" s="560" t="s">
        <v>311</v>
      </c>
      <c r="B28" s="553"/>
      <c r="C28" s="119">
        <f>-'AG15.1.2'!J35</f>
        <v>223060.47999999998</v>
      </c>
      <c r="D28" s="119">
        <f>-'AG15.1.2'!H35</f>
        <v>242687.49</v>
      </c>
      <c r="E28" s="119">
        <f>-'AG15.1.2'!J35</f>
        <v>223060.47999999998</v>
      </c>
    </row>
    <row r="29" spans="1:7" ht="13.8" thickBot="1">
      <c r="A29" s="554" t="s">
        <v>312</v>
      </c>
      <c r="B29" s="555"/>
      <c r="C29" s="121">
        <f>C28/C27</f>
        <v>3232.7605797101446</v>
      </c>
      <c r="D29" s="121">
        <f>D28/D27</f>
        <v>3568.9336764705881</v>
      </c>
      <c r="E29" s="121">
        <f>E28/E27</f>
        <v>3329.2608955223877</v>
      </c>
    </row>
    <row r="30" spans="1:7">
      <c r="A30" s="556" t="s">
        <v>313</v>
      </c>
      <c r="B30" s="557"/>
      <c r="C30" s="118">
        <f>-'AG15.1.2'!J39</f>
        <v>324350.83</v>
      </c>
      <c r="D30" s="118">
        <f>-'AG15.1.2'!H39</f>
        <v>181488.47999999998</v>
      </c>
      <c r="E30" s="118">
        <f>-'AG15.1.2'!J39</f>
        <v>324350.83</v>
      </c>
    </row>
    <row r="31" spans="1:7" ht="13.8" thickBot="1">
      <c r="A31" s="558" t="s">
        <v>314</v>
      </c>
      <c r="B31" s="559"/>
      <c r="C31" s="122">
        <f>-'AG15.1.2'!J63</f>
        <v>3738</v>
      </c>
      <c r="D31" s="122">
        <f>-'AG15.1.2'!H63</f>
        <v>4616.5</v>
      </c>
      <c r="E31" s="122">
        <f>-'AG15.1.2'!J63</f>
        <v>3738</v>
      </c>
    </row>
    <row r="32" spans="1:7">
      <c r="A32" s="556" t="s">
        <v>315</v>
      </c>
      <c r="B32" s="557"/>
      <c r="C32" s="118">
        <f>+'AG15.1.2'!J54</f>
        <v>-93540.889999999898</v>
      </c>
      <c r="D32" s="118">
        <f>+'AG15.1.2'!H54</f>
        <v>32903.440000000177</v>
      </c>
      <c r="E32" s="118">
        <f>+'AG15.1.2'!J54</f>
        <v>-93540.889999999898</v>
      </c>
    </row>
    <row r="33" spans="1:5">
      <c r="A33" s="560" t="s">
        <v>316</v>
      </c>
      <c r="B33" s="553"/>
      <c r="C33" s="119">
        <f>+'AG15.1.2'!J79</f>
        <v>27854.930000000095</v>
      </c>
      <c r="D33" s="119">
        <f>+'AG15.1.2'!H79</f>
        <v>115898.96000000018</v>
      </c>
      <c r="E33" s="119">
        <f>+'AG15.1.2'!J79</f>
        <v>27854.930000000095</v>
      </c>
    </row>
    <row r="34" spans="1:5" ht="13.8" thickBot="1">
      <c r="A34" s="561" t="s">
        <v>317</v>
      </c>
      <c r="B34" s="559"/>
      <c r="C34" s="122">
        <f>+'AG15.1.2'!J81</f>
        <v>28079.960000000094</v>
      </c>
      <c r="D34" s="122">
        <f>+'AG15.1.2'!H81</f>
        <v>104644.27000000018</v>
      </c>
      <c r="E34" s="122">
        <f>+'AG15.1.2'!J81</f>
        <v>28079.960000000094</v>
      </c>
    </row>
    <row r="35" spans="1:5" ht="13.8" thickBot="1">
      <c r="A35" s="562"/>
      <c r="B35" s="562"/>
      <c r="C35" s="11"/>
      <c r="D35" s="11"/>
      <c r="E35" s="11"/>
    </row>
    <row r="36" spans="1:5" ht="16.2" thickBot="1">
      <c r="A36" s="262" t="s">
        <v>785</v>
      </c>
      <c r="B36" s="263"/>
      <c r="C36" s="264"/>
      <c r="D36" s="264"/>
      <c r="E36" s="265"/>
    </row>
    <row r="37" spans="1:5">
      <c r="A37" s="563" t="s">
        <v>318</v>
      </c>
      <c r="B37" s="564"/>
      <c r="C37" s="125">
        <f>+'AG15.1.1'!M89</f>
        <v>2140595.67</v>
      </c>
      <c r="D37" s="125">
        <f>+'AG15.1.1'!K89</f>
        <v>2347514.4500000002</v>
      </c>
      <c r="E37" s="125">
        <f>+'AG15.1.1'!I89</f>
        <v>2767317.9299999997</v>
      </c>
    </row>
    <row r="38" spans="1:5">
      <c r="A38" s="552" t="s">
        <v>319</v>
      </c>
      <c r="B38" s="553"/>
      <c r="C38" s="119">
        <f>+'AG15.1.1'!M86</f>
        <v>429248.31</v>
      </c>
      <c r="D38" s="119">
        <f>+'AG15.1.1'!K86</f>
        <v>512086.87</v>
      </c>
      <c r="E38" s="119">
        <f>+'AG15.1.1'!I86</f>
        <v>513185.63</v>
      </c>
    </row>
    <row r="39" spans="1:5">
      <c r="A39" s="572" t="s">
        <v>320</v>
      </c>
      <c r="B39" s="573"/>
      <c r="C39" s="126">
        <f>+'AG15.1.1'!M160</f>
        <v>2116518.62</v>
      </c>
      <c r="D39" s="126">
        <f>+'AG15.1.1'!K160</f>
        <v>2347514.4499999997</v>
      </c>
      <c r="E39" s="126">
        <f>+'AG15.1.1'!I160</f>
        <v>2767317.93</v>
      </c>
    </row>
    <row r="40" spans="1:5" ht="13.8" thickBot="1">
      <c r="A40" s="561" t="s">
        <v>321</v>
      </c>
      <c r="B40" s="559"/>
      <c r="C40" s="122">
        <f>+'AG15.1.1'!M93</f>
        <v>1836906.32</v>
      </c>
      <c r="D40" s="122">
        <f>+'AG15.1.1'!K93</f>
        <v>1956916.81</v>
      </c>
      <c r="E40" s="122">
        <f>+'AG15.1.1'!I93</f>
        <v>1982278.3800000001</v>
      </c>
    </row>
    <row r="41" spans="1:5">
      <c r="A41" s="574" t="s">
        <v>322</v>
      </c>
      <c r="B41" s="557"/>
      <c r="C41" s="118">
        <f>+'AG15.1.1'!M54</f>
        <v>938626.32000000007</v>
      </c>
      <c r="D41" s="118">
        <f>+'AG15.1.1'!K54</f>
        <v>1177365.92</v>
      </c>
      <c r="E41" s="118">
        <f>+'AG15.1.1'!I54</f>
        <v>1535544.72</v>
      </c>
    </row>
    <row r="42" spans="1:5">
      <c r="A42" s="552" t="s">
        <v>323</v>
      </c>
      <c r="B42" s="553"/>
      <c r="C42" s="119">
        <f>+'AG15.1.1'!M138</f>
        <v>274366.02999999997</v>
      </c>
      <c r="D42" s="119">
        <f>+'AG15.1.1'!K138</f>
        <v>379682.46</v>
      </c>
      <c r="E42" s="119">
        <f>+'AG15.1.1'!I138</f>
        <v>774344.75</v>
      </c>
    </row>
    <row r="43" spans="1:5" ht="13.8" thickBot="1">
      <c r="A43" s="554" t="s">
        <v>324</v>
      </c>
      <c r="B43" s="555"/>
      <c r="C43" s="121">
        <f>C41-C42</f>
        <v>664260.29</v>
      </c>
      <c r="D43" s="121">
        <f>D41-D42</f>
        <v>797683.46</v>
      </c>
      <c r="E43" s="121">
        <f>E41-E42</f>
        <v>761199.97</v>
      </c>
    </row>
    <row r="44" spans="1:5">
      <c r="A44" s="204"/>
      <c r="B44" s="204"/>
      <c r="C44" s="127"/>
      <c r="D44" s="127"/>
      <c r="E44" s="127"/>
    </row>
    <row r="45" spans="1:5">
      <c r="A45" s="204"/>
      <c r="B45" s="204"/>
      <c r="C45" s="127"/>
      <c r="D45" s="127"/>
      <c r="E45" s="127"/>
    </row>
    <row r="46" spans="1:5" ht="16.2" hidden="1" thickBot="1">
      <c r="A46" s="205" t="s">
        <v>7</v>
      </c>
      <c r="B46" s="206"/>
      <c r="C46" s="123"/>
      <c r="D46" s="123"/>
      <c r="E46" s="124"/>
    </row>
    <row r="47" spans="1:5" hidden="1">
      <c r="A47" s="214" t="s">
        <v>637</v>
      </c>
      <c r="B47" s="207"/>
      <c r="C47" s="128">
        <f>+C43</f>
        <v>664260.29</v>
      </c>
      <c r="D47" s="128">
        <f>+D43</f>
        <v>797683.46</v>
      </c>
      <c r="E47" s="128">
        <f>+E43</f>
        <v>761199.97</v>
      </c>
    </row>
    <row r="48" spans="1:5" ht="14.4" hidden="1">
      <c r="A48" s="213" t="s">
        <v>638</v>
      </c>
      <c r="B48" s="209"/>
      <c r="C48" s="129">
        <f>+C41/C42</f>
        <v>3.4210733741345463</v>
      </c>
      <c r="D48" s="129">
        <f>+D41/D42</f>
        <v>3.1009225972672003</v>
      </c>
      <c r="E48" s="129">
        <f>+E41/E42</f>
        <v>1.9830246411562809</v>
      </c>
    </row>
    <row r="49" spans="1:14" hidden="1">
      <c r="A49" s="213" t="s">
        <v>639</v>
      </c>
      <c r="B49" s="209"/>
      <c r="C49" s="16">
        <f>+('AG15.1.1'!M71+'AG15.1.1'!M78+'AG15.1.1'!M86)/'AG15.1.1'!M138</f>
        <v>1.6615450899661306</v>
      </c>
      <c r="D49" s="16">
        <f>+('AG15.1.1'!K71+'AG15.1.1'!K78+'AG15.1.1'!K86)/'AG15.1.1'!K138</f>
        <v>1.4219238623769979</v>
      </c>
      <c r="E49" s="16">
        <f>+('AG15.1.1'!I71+'AG15.1.1'!I78+'AG15.1.1'!I86)/'AG15.1.1'!I138</f>
        <v>0.68944947324818817</v>
      </c>
    </row>
    <row r="50" spans="1:14" hidden="1">
      <c r="A50" s="208" t="s">
        <v>325</v>
      </c>
      <c r="B50" s="209"/>
      <c r="C50" s="16">
        <f>+C37/(C39-C40)</f>
        <v>7.6555847865061715</v>
      </c>
      <c r="D50" s="16">
        <f>+D37/(D39-D40)</f>
        <v>6.0100579460746415</v>
      </c>
      <c r="E50" s="16">
        <f>+E37/(E39-E40)</f>
        <v>3.5250681701323194</v>
      </c>
    </row>
    <row r="51" spans="1:14" hidden="1">
      <c r="A51" s="213" t="s">
        <v>636</v>
      </c>
      <c r="B51" s="209"/>
      <c r="C51" s="16">
        <f>+C25/C37</f>
        <v>0.65655656493035897</v>
      </c>
      <c r="D51" s="16">
        <f>+D25/D37</f>
        <v>0.58716745279246307</v>
      </c>
      <c r="E51" s="16">
        <f>+E25/E37</f>
        <v>0.50786435659020945</v>
      </c>
    </row>
    <row r="52" spans="1:14" hidden="1">
      <c r="A52" s="208" t="s">
        <v>326</v>
      </c>
      <c r="B52" s="209"/>
      <c r="C52" s="16">
        <f>+C32/C25</f>
        <v>-6.6557148445092723E-2</v>
      </c>
      <c r="D52" s="16">
        <f>+D32/D25</f>
        <v>2.3871024395464707E-2</v>
      </c>
      <c r="E52" s="16">
        <f>+E32/E25</f>
        <v>-6.6557148445092723E-2</v>
      </c>
    </row>
    <row r="53" spans="1:14" ht="14.4" hidden="1">
      <c r="A53" s="216" t="s">
        <v>327</v>
      </c>
      <c r="B53" s="209"/>
      <c r="C53" s="147">
        <f>+C32/C37</f>
        <v>-4.3698532754670061E-2</v>
      </c>
      <c r="D53" s="130">
        <f>+D32/D37</f>
        <v>1.4016288589831758E-2</v>
      </c>
      <c r="E53" s="130">
        <f>+E32/E37</f>
        <v>-3.3802003371546076E-2</v>
      </c>
    </row>
    <row r="54" spans="1:14" ht="15" hidden="1" thickBot="1">
      <c r="A54" s="215" t="s">
        <v>640</v>
      </c>
      <c r="B54" s="210"/>
      <c r="C54" s="131">
        <f>+(C39-C40)/C39</f>
        <v>0.13210953939068112</v>
      </c>
      <c r="D54" s="131">
        <f>+(D39-D40)/D39</f>
        <v>0.16638774683580743</v>
      </c>
      <c r="E54" s="131">
        <f>+(E39-E40)/E39</f>
        <v>0.28368245711471252</v>
      </c>
    </row>
    <row r="55" spans="1:14" ht="15" thickBot="1">
      <c r="A55" s="136"/>
      <c r="B55" s="136"/>
      <c r="C55" s="132"/>
      <c r="D55" s="132"/>
      <c r="E55" s="132"/>
    </row>
    <row r="56" spans="1:14" ht="15" customHeight="1" thickBot="1">
      <c r="A56" s="575" t="s">
        <v>928</v>
      </c>
      <c r="B56" s="576"/>
      <c r="C56" s="576"/>
      <c r="D56" s="576"/>
      <c r="E56" s="577"/>
      <c r="H56" s="171" t="s">
        <v>619</v>
      </c>
      <c r="I56" s="171" t="s">
        <v>620</v>
      </c>
      <c r="J56" s="171" t="s">
        <v>621</v>
      </c>
    </row>
    <row r="57" spans="1:14" ht="14.4">
      <c r="A57" s="136"/>
      <c r="B57" s="136"/>
      <c r="C57" s="132"/>
      <c r="D57" s="132"/>
      <c r="E57" s="132"/>
      <c r="H57" s="344">
        <v>0.1</v>
      </c>
      <c r="I57" s="172"/>
      <c r="J57" s="345">
        <v>-0.1</v>
      </c>
    </row>
    <row r="58" spans="1:14" ht="14.4">
      <c r="A58" s="571" t="s">
        <v>8</v>
      </c>
      <c r="B58" s="571"/>
      <c r="C58" s="242"/>
      <c r="D58" s="177">
        <f>+((D25-C25)/C25)</f>
        <v>-1.9238390537949013E-2</v>
      </c>
      <c r="E58" s="177">
        <f>+((E25-D25)/D25)</f>
        <v>1.961576631094002E-2</v>
      </c>
      <c r="G58" s="133">
        <f>+E58-D58</f>
        <v>3.8854156848889029E-2</v>
      </c>
      <c r="H58" s="146" t="str">
        <f>IF(E58&gt;=H57,"ok","")</f>
        <v/>
      </c>
      <c r="I58" s="146" t="str">
        <f>IF(E58&lt;H57,IF(E58&gt;=J57,"ok",""),"")</f>
        <v>ok</v>
      </c>
      <c r="J58" s="146" t="str">
        <f>IF(E58&lt;J57,"ok","")</f>
        <v/>
      </c>
      <c r="K58" s="10" t="str">
        <f>+H58</f>
        <v/>
      </c>
      <c r="L58" s="10" t="str">
        <f>+I58</f>
        <v>ok</v>
      </c>
      <c r="M58" s="10" t="str">
        <f>+J58</f>
        <v/>
      </c>
      <c r="N58" s="196">
        <f>+COUNTIF(K58:M58,"ok")</f>
        <v>1</v>
      </c>
    </row>
    <row r="59" spans="1:14" ht="14.4">
      <c r="A59" s="14" t="str">
        <f>IF(G58&gt;0,$A$152,$A$153)</f>
        <v>EVOLUCIÓN POSITIVA DEL RATIO</v>
      </c>
      <c r="B59" s="14"/>
      <c r="C59" s="149"/>
      <c r="D59" s="149"/>
      <c r="E59" s="149"/>
      <c r="G59" s="133"/>
    </row>
    <row r="60" spans="1:14" ht="14.4">
      <c r="A60" s="14" t="s">
        <v>622</v>
      </c>
      <c r="B60" s="14"/>
      <c r="C60" s="149"/>
      <c r="D60" s="149"/>
      <c r="E60" s="149"/>
      <c r="G60" s="133"/>
      <c r="H60" s="171" t="s">
        <v>619</v>
      </c>
      <c r="I60" s="171" t="s">
        <v>620</v>
      </c>
      <c r="J60" s="171" t="s">
        <v>621</v>
      </c>
    </row>
    <row r="61" spans="1:14" ht="14.4">
      <c r="A61" s="14"/>
      <c r="B61" s="14"/>
      <c r="C61" s="149"/>
      <c r="D61" s="149"/>
      <c r="E61" s="149"/>
      <c r="G61" s="133"/>
      <c r="H61" s="172">
        <v>2</v>
      </c>
      <c r="I61" s="172"/>
      <c r="J61" s="173">
        <v>1</v>
      </c>
    </row>
    <row r="62" spans="1:14" ht="14.4">
      <c r="A62" s="571" t="s">
        <v>9</v>
      </c>
      <c r="B62" s="571"/>
      <c r="C62" s="178">
        <f>+C25/C37</f>
        <v>0.65655656493035897</v>
      </c>
      <c r="D62" s="178">
        <f>+D25/D37</f>
        <v>0.58716745279246307</v>
      </c>
      <c r="E62" s="178">
        <f>+E25/E37</f>
        <v>0.50786435659020945</v>
      </c>
      <c r="G62" s="133">
        <f>+E62-D62</f>
        <v>-7.930309620225362E-2</v>
      </c>
      <c r="H62" s="146" t="str">
        <f>IF(E62&gt;=H61,"ok","")</f>
        <v/>
      </c>
      <c r="I62" s="146" t="str">
        <f>IF(E62&lt;H61,IF(E62&gt;=J61,"ok",""),"")</f>
        <v/>
      </c>
      <c r="J62" s="146" t="str">
        <f>IF(E62&lt;J61,"ok","")</f>
        <v>ok</v>
      </c>
      <c r="K62" s="10" t="str">
        <f>+H62</f>
        <v/>
      </c>
      <c r="L62" s="10" t="str">
        <f>+I62</f>
        <v/>
      </c>
      <c r="M62" s="10" t="str">
        <f>+J62</f>
        <v>ok</v>
      </c>
      <c r="N62" s="196">
        <f>+COUNTIF(K62:M62,"ok")</f>
        <v>1</v>
      </c>
    </row>
    <row r="63" spans="1:14" ht="14.4">
      <c r="A63" s="14" t="str">
        <f>IF(G62&gt;0,$A$152,$A$153)</f>
        <v>EVOLUCIÓN NEGATIVA DEL RATIO</v>
      </c>
      <c r="B63" s="14"/>
      <c r="C63" s="175"/>
      <c r="D63" s="175"/>
      <c r="E63" s="175"/>
      <c r="G63" s="133"/>
      <c r="H63" s="144"/>
      <c r="I63" s="144"/>
      <c r="J63" s="144"/>
    </row>
    <row r="64" spans="1:14" ht="14.4">
      <c r="A64" s="14" t="s">
        <v>10</v>
      </c>
      <c r="B64" s="14"/>
      <c r="C64" s="175"/>
      <c r="D64" s="175"/>
      <c r="E64" s="175"/>
      <c r="G64" s="133"/>
      <c r="H64" s="171" t="s">
        <v>619</v>
      </c>
      <c r="I64" s="171" t="s">
        <v>620</v>
      </c>
      <c r="J64" s="171" t="s">
        <v>621</v>
      </c>
    </row>
    <row r="65" spans="1:14" ht="14.4">
      <c r="A65" s="14"/>
      <c r="B65" s="14"/>
      <c r="C65" s="175"/>
      <c r="D65" s="175"/>
      <c r="E65" s="175"/>
      <c r="G65" s="133"/>
      <c r="H65" s="344">
        <v>0.4</v>
      </c>
      <c r="I65" s="172"/>
      <c r="J65" s="345">
        <v>0.2</v>
      </c>
    </row>
    <row r="66" spans="1:14" ht="14.4">
      <c r="A66" s="571" t="s">
        <v>11</v>
      </c>
      <c r="B66" s="571"/>
      <c r="C66" s="179">
        <f>+C25-C24-C30</f>
        <v>165058.77000000008</v>
      </c>
      <c r="D66" s="179">
        <f>+D25-D24-D30</f>
        <v>262173.72000000009</v>
      </c>
      <c r="E66" s="179">
        <f>+E25-E24-E30</f>
        <v>165058.77000000008</v>
      </c>
      <c r="G66" s="133">
        <f>+E66-D66</f>
        <v>-97114.950000000012</v>
      </c>
      <c r="H66" s="146" t="str">
        <f>IF(E67&gt;=H65,"ok","")</f>
        <v/>
      </c>
      <c r="I66" s="146" t="str">
        <f>IF(E67&lt;H65,IF(E67&gt;=J65,"ok",""),"")</f>
        <v/>
      </c>
      <c r="J66" s="146" t="str">
        <f>IF(E67&lt;J65,"ok","")</f>
        <v>ok</v>
      </c>
      <c r="K66" s="10" t="str">
        <f>+H66</f>
        <v/>
      </c>
      <c r="L66" s="10" t="str">
        <f>+I66</f>
        <v/>
      </c>
      <c r="M66" s="10" t="str">
        <f>+J66</f>
        <v>ok</v>
      </c>
      <c r="N66" s="196">
        <f>+COUNTIF(K66:M66,"ok")</f>
        <v>1</v>
      </c>
    </row>
    <row r="67" spans="1:14" ht="14.4">
      <c r="A67" s="14"/>
      <c r="B67" s="152" t="s">
        <v>623</v>
      </c>
      <c r="C67" s="153">
        <f>+C66/C25</f>
        <v>0.11744426482423286</v>
      </c>
      <c r="D67" s="153">
        <f>+D66/D25</f>
        <v>0.19020367675749714</v>
      </c>
      <c r="E67" s="153">
        <f>+E66/E25</f>
        <v>0.11744426482423286</v>
      </c>
      <c r="G67" s="133"/>
      <c r="H67" s="154"/>
      <c r="I67" s="154"/>
      <c r="J67" s="154"/>
    </row>
    <row r="68" spans="1:14" ht="14.4">
      <c r="A68" s="14" t="str">
        <f>IF(G66&gt;0,$A$152,$A$153)</f>
        <v>EVOLUCIÓN NEGATIVA DEL RATIO</v>
      </c>
      <c r="B68" s="152"/>
      <c r="C68" s="180"/>
      <c r="D68" s="180"/>
      <c r="E68" s="180"/>
      <c r="G68" s="133"/>
      <c r="H68" s="144"/>
      <c r="I68" s="144"/>
      <c r="J68" s="144"/>
    </row>
    <row r="69" spans="1:14" ht="14.4">
      <c r="A69" s="14" t="s">
        <v>12</v>
      </c>
      <c r="B69" s="14"/>
      <c r="C69" s="175"/>
      <c r="D69" s="176"/>
      <c r="E69" s="176"/>
      <c r="G69" s="133"/>
      <c r="H69" s="171" t="s">
        <v>619</v>
      </c>
      <c r="I69" s="171" t="s">
        <v>620</v>
      </c>
      <c r="J69" s="171" t="s">
        <v>621</v>
      </c>
    </row>
    <row r="70" spans="1:14" ht="14.4">
      <c r="A70" s="14"/>
      <c r="B70" s="14"/>
      <c r="C70" s="175"/>
      <c r="D70" s="176"/>
      <c r="E70" s="176"/>
      <c r="G70" s="133"/>
      <c r="H70" s="344">
        <v>0.02</v>
      </c>
      <c r="I70" s="172"/>
      <c r="J70" s="345">
        <v>-0.02</v>
      </c>
    </row>
    <row r="71" spans="1:14" ht="14.4">
      <c r="A71" s="571" t="s">
        <v>13</v>
      </c>
      <c r="B71" s="571"/>
      <c r="C71" s="242"/>
      <c r="D71" s="177">
        <f>+(D66-C66)/C66</f>
        <v>0.58836588931324263</v>
      </c>
      <c r="E71" s="177">
        <f>+(E66-D66)/D66</f>
        <v>-0.37042213842028093</v>
      </c>
      <c r="G71" s="133">
        <f>+E71-D71</f>
        <v>-0.95878802773352356</v>
      </c>
      <c r="H71" s="146" t="str">
        <f>IF(E71&gt;=H70,"ok","")</f>
        <v/>
      </c>
      <c r="I71" s="146" t="str">
        <f>IF(E71&lt;H70,IF(E71&gt;=J70,"ok",""),"")</f>
        <v/>
      </c>
      <c r="J71" s="146" t="str">
        <f>IF(E71&lt;J70,"ok","")</f>
        <v>ok</v>
      </c>
      <c r="K71" s="10" t="str">
        <f>+H71</f>
        <v/>
      </c>
      <c r="L71" s="10" t="str">
        <f>+I71</f>
        <v/>
      </c>
      <c r="M71" s="10" t="str">
        <f>+J71</f>
        <v>ok</v>
      </c>
      <c r="N71" s="196">
        <f>+COUNTIF(K71:M71,"ok")</f>
        <v>1</v>
      </c>
    </row>
    <row r="72" spans="1:14" ht="14.4">
      <c r="A72" s="14" t="str">
        <f>IF(G71&gt;0,$A$152,$A$153)</f>
        <v>EVOLUCIÓN NEGATIVA DEL RATIO</v>
      </c>
      <c r="B72" s="14"/>
      <c r="C72" s="149"/>
      <c r="D72" s="149"/>
      <c r="E72" s="149"/>
      <c r="G72" s="133"/>
    </row>
    <row r="73" spans="1:14" ht="14.4">
      <c r="A73" s="15" t="s">
        <v>14</v>
      </c>
      <c r="B73" s="14"/>
      <c r="C73" s="149"/>
      <c r="D73" s="149"/>
      <c r="E73" s="149"/>
      <c r="G73" s="133"/>
    </row>
    <row r="74" spans="1:14" ht="14.4">
      <c r="A74" s="14"/>
      <c r="B74" s="14"/>
      <c r="C74" s="149"/>
      <c r="D74" s="149"/>
      <c r="E74" s="149"/>
      <c r="G74" s="133"/>
    </row>
    <row r="75" spans="1:14" ht="15" thickBot="1">
      <c r="A75" s="14"/>
      <c r="B75" s="14"/>
      <c r="C75" s="132"/>
      <c r="D75" s="132"/>
      <c r="E75" s="132"/>
      <c r="G75" s="133"/>
    </row>
    <row r="76" spans="1:14" ht="15" thickBot="1">
      <c r="A76" s="575" t="s">
        <v>929</v>
      </c>
      <c r="B76" s="576"/>
      <c r="C76" s="576"/>
      <c r="D76" s="576"/>
      <c r="E76" s="577"/>
      <c r="G76" s="133"/>
      <c r="H76" s="171" t="s">
        <v>619</v>
      </c>
      <c r="I76" s="171" t="s">
        <v>620</v>
      </c>
      <c r="J76" s="171" t="s">
        <v>621</v>
      </c>
    </row>
    <row r="77" spans="1:14" ht="14.4">
      <c r="A77" s="14"/>
      <c r="B77" s="14"/>
      <c r="C77" s="132"/>
      <c r="D77" s="132"/>
      <c r="E77" s="132"/>
      <c r="G77" s="133"/>
      <c r="H77" s="344">
        <v>0.05</v>
      </c>
      <c r="I77" s="172"/>
      <c r="J77" s="345">
        <v>0</v>
      </c>
    </row>
    <row r="78" spans="1:14" ht="14.4">
      <c r="A78" s="571" t="s">
        <v>15</v>
      </c>
      <c r="B78" s="571"/>
      <c r="C78" s="147">
        <f>+C34/C37</f>
        <v>1.3117825282716794E-2</v>
      </c>
      <c r="D78" s="147">
        <f>+D34/D37</f>
        <v>4.4576624437817694E-2</v>
      </c>
      <c r="E78" s="147">
        <f>+E34/E37</f>
        <v>1.0146994566685042E-2</v>
      </c>
      <c r="G78" s="133">
        <f>+E78-D78</f>
        <v>-3.4429629871132655E-2</v>
      </c>
      <c r="H78" s="146" t="str">
        <f>IF(E78&gt;=H77,"ok","")</f>
        <v/>
      </c>
      <c r="I78" s="146" t="str">
        <f>IF(E78&lt;H77,IF(E78&gt;=J77,"ok",""),"")</f>
        <v>ok</v>
      </c>
      <c r="J78" s="146" t="str">
        <f>IF(E78&lt;J77,"ok","")</f>
        <v/>
      </c>
      <c r="K78" s="10" t="str">
        <f>+H78</f>
        <v/>
      </c>
      <c r="L78" s="10" t="str">
        <f>+I78</f>
        <v>ok</v>
      </c>
      <c r="M78" s="10" t="str">
        <f>+J78</f>
        <v/>
      </c>
      <c r="N78" s="196">
        <f>+COUNTIF(K78:M78,"ok")</f>
        <v>1</v>
      </c>
    </row>
    <row r="79" spans="1:14" ht="14.4">
      <c r="A79" s="14" t="str">
        <f>IF(G78&gt;0,$A$152,$A$153)</f>
        <v>EVOLUCIÓN NEGATIVA DEL RATIO</v>
      </c>
      <c r="B79" s="14"/>
      <c r="C79" s="148"/>
      <c r="D79" s="148"/>
      <c r="E79" s="148"/>
      <c r="G79" s="133"/>
    </row>
    <row r="80" spans="1:14" ht="14.4">
      <c r="A80" s="14" t="s">
        <v>16</v>
      </c>
      <c r="B80" s="14"/>
      <c r="C80" s="148"/>
      <c r="D80" s="148"/>
      <c r="E80" s="148"/>
      <c r="G80" s="133"/>
      <c r="H80" s="171" t="s">
        <v>619</v>
      </c>
      <c r="I80" s="171" t="s">
        <v>620</v>
      </c>
      <c r="J80" s="171" t="s">
        <v>621</v>
      </c>
    </row>
    <row r="81" spans="1:14" ht="14.4">
      <c r="A81" s="14"/>
      <c r="B81" s="14"/>
      <c r="C81" s="148"/>
      <c r="D81" s="148"/>
      <c r="E81" s="148"/>
      <c r="G81" s="133"/>
      <c r="H81" s="344">
        <v>0.05</v>
      </c>
      <c r="I81" s="172"/>
      <c r="J81" s="345">
        <v>0</v>
      </c>
    </row>
    <row r="82" spans="1:14" ht="14.4">
      <c r="A82" s="571" t="s">
        <v>17</v>
      </c>
      <c r="B82" s="571"/>
      <c r="C82" s="147">
        <f>+C34/C40</f>
        <v>1.5286549833417793E-2</v>
      </c>
      <c r="D82" s="147">
        <f>+D34/D40</f>
        <v>5.3474051357349305E-2</v>
      </c>
      <c r="E82" s="147">
        <f>+E34/E40</f>
        <v>1.4165497784423241E-2</v>
      </c>
      <c r="G82" s="133">
        <f>+E82-D82</f>
        <v>-3.9308553572926064E-2</v>
      </c>
      <c r="H82" s="146" t="str">
        <f>IF(E82&gt;=H81,"ok","")</f>
        <v/>
      </c>
      <c r="I82" s="146" t="str">
        <f>IF(E82&lt;H81,IF(E82&gt;=J81,"ok",""),"")</f>
        <v>ok</v>
      </c>
      <c r="J82" s="146" t="str">
        <f>IF(E82&lt;J81,"ok","")</f>
        <v/>
      </c>
      <c r="K82" s="10" t="str">
        <f>+H82</f>
        <v/>
      </c>
      <c r="L82" s="10" t="str">
        <f>+I82</f>
        <v>ok</v>
      </c>
      <c r="M82" s="10" t="str">
        <f>+J82</f>
        <v/>
      </c>
      <c r="N82" s="196">
        <f>+COUNTIF(K82:M82,"ok")</f>
        <v>1</v>
      </c>
    </row>
    <row r="83" spans="1:14" ht="14.4">
      <c r="A83" s="14" t="str">
        <f>IF(G82&gt;0,$A$152,$A$153)</f>
        <v>EVOLUCIÓN NEGATIVA DEL RATIO</v>
      </c>
      <c r="B83" s="14"/>
      <c r="C83" s="148"/>
      <c r="D83" s="148"/>
      <c r="E83" s="148"/>
      <c r="G83" s="133"/>
    </row>
    <row r="84" spans="1:14" ht="14.4">
      <c r="A84" s="14" t="s">
        <v>624</v>
      </c>
      <c r="B84" s="14"/>
      <c r="C84" s="148"/>
      <c r="D84" s="148"/>
      <c r="E84" s="148"/>
      <c r="G84" s="133"/>
      <c r="H84" s="171" t="s">
        <v>619</v>
      </c>
      <c r="I84" s="171" t="s">
        <v>620</v>
      </c>
      <c r="J84" s="171" t="s">
        <v>621</v>
      </c>
    </row>
    <row r="85" spans="1:14" ht="14.4">
      <c r="A85" s="14"/>
      <c r="B85" s="14"/>
      <c r="C85" s="148"/>
      <c r="D85" s="148"/>
      <c r="E85" s="148"/>
      <c r="G85" s="133"/>
      <c r="H85" s="344">
        <v>0.05</v>
      </c>
      <c r="I85" s="172"/>
      <c r="J85" s="345">
        <v>0.15</v>
      </c>
    </row>
    <row r="86" spans="1:14" ht="14.4">
      <c r="A86" s="571" t="s">
        <v>18</v>
      </c>
      <c r="B86" s="571"/>
      <c r="C86" s="147">
        <f>+C31/C25</f>
        <v>2.6596990993752239E-3</v>
      </c>
      <c r="D86" s="147">
        <f>+D31/D25</f>
        <v>3.3492116362806509E-3</v>
      </c>
      <c r="E86" s="147">
        <f>+E31/E25</f>
        <v>2.6596990993752239E-3</v>
      </c>
      <c r="G86" s="133">
        <f>+D86-E86</f>
        <v>6.89512536905427E-4</v>
      </c>
      <c r="H86" s="146" t="str">
        <f>IF(E86&lt;=H85,"ok","")</f>
        <v>ok</v>
      </c>
      <c r="I86" s="146" t="str">
        <f>IF(E86&gt;H85,IF(E86&lt;=J85,"ok",""),"")</f>
        <v/>
      </c>
      <c r="J86" s="146" t="str">
        <f>IF(E86&gt;J85,"ok","")</f>
        <v/>
      </c>
      <c r="K86" s="10" t="str">
        <f>+H86</f>
        <v>ok</v>
      </c>
      <c r="L86" s="10" t="str">
        <f>+I86</f>
        <v/>
      </c>
      <c r="M86" s="10" t="str">
        <f>+J86</f>
        <v/>
      </c>
      <c r="N86" s="196">
        <f>+COUNTIF(K86:M86,"ok")</f>
        <v>1</v>
      </c>
    </row>
    <row r="87" spans="1:14" ht="14.4">
      <c r="A87" s="14" t="str">
        <f>IF(G86&gt;0,$A$152,$A$153)</f>
        <v>EVOLUCIÓN POSITIVA DEL RATIO</v>
      </c>
      <c r="B87" s="14"/>
      <c r="C87" s="148"/>
      <c r="D87" s="148"/>
      <c r="E87" s="148"/>
      <c r="G87" s="134"/>
    </row>
    <row r="88" spans="1:14" ht="14.4">
      <c r="A88" s="14" t="s">
        <v>19</v>
      </c>
      <c r="B88" s="14"/>
      <c r="C88" s="148"/>
      <c r="D88" s="148"/>
      <c r="E88" s="148"/>
      <c r="G88" s="134"/>
    </row>
    <row r="89" spans="1:14" ht="14.4">
      <c r="A89" s="14"/>
      <c r="B89" s="14"/>
      <c r="C89" s="148"/>
      <c r="D89" s="148"/>
      <c r="E89" s="148"/>
      <c r="G89" s="134"/>
    </row>
    <row r="90" spans="1:14" ht="15" thickBot="1">
      <c r="A90" s="14"/>
      <c r="B90" s="14"/>
      <c r="C90" s="132"/>
      <c r="D90" s="132"/>
      <c r="E90" s="132"/>
      <c r="G90" s="133"/>
    </row>
    <row r="91" spans="1:14" ht="15" thickBot="1">
      <c r="A91" s="575" t="s">
        <v>930</v>
      </c>
      <c r="B91" s="576"/>
      <c r="C91" s="576"/>
      <c r="D91" s="576"/>
      <c r="E91" s="577"/>
      <c r="G91" s="133"/>
      <c r="H91" s="171" t="s">
        <v>619</v>
      </c>
      <c r="I91" s="171" t="s">
        <v>620</v>
      </c>
      <c r="J91" s="171" t="s">
        <v>621</v>
      </c>
    </row>
    <row r="92" spans="1:14" ht="14.4">
      <c r="A92" s="14"/>
      <c r="B92" s="14"/>
      <c r="C92" s="132"/>
      <c r="D92" s="132"/>
      <c r="E92" s="132"/>
      <c r="G92" s="133"/>
      <c r="H92" s="172">
        <v>1.2</v>
      </c>
      <c r="I92" s="172"/>
      <c r="J92" s="173">
        <v>1</v>
      </c>
    </row>
    <row r="93" spans="1:14" ht="14.4">
      <c r="A93" s="571" t="s">
        <v>20</v>
      </c>
      <c r="B93" s="571"/>
      <c r="C93" s="156">
        <f>+C43</f>
        <v>664260.29</v>
      </c>
      <c r="D93" s="156">
        <f>+D43</f>
        <v>797683.46</v>
      </c>
      <c r="E93" s="156">
        <f>+E43</f>
        <v>761199.97</v>
      </c>
      <c r="G93" s="133">
        <f>+E93-D93</f>
        <v>-36483.489999999991</v>
      </c>
      <c r="H93" s="146" t="str">
        <f>IF(E94&gt;=H92,"ok","")</f>
        <v>ok</v>
      </c>
      <c r="I93" s="146" t="str">
        <f>IF(E94&lt;H92,IF(E94&gt;=J92,"ok",""),"")</f>
        <v/>
      </c>
      <c r="J93" s="146" t="str">
        <f>IF(E94&lt;J92,"ok","")</f>
        <v/>
      </c>
      <c r="K93" s="10" t="str">
        <f>+H93</f>
        <v>ok</v>
      </c>
      <c r="L93" s="10" t="str">
        <f>+I93</f>
        <v/>
      </c>
      <c r="M93" s="10" t="str">
        <f>+J93</f>
        <v/>
      </c>
      <c r="N93" s="196">
        <f>+COUNTIF(K93:M93,"ok")</f>
        <v>1</v>
      </c>
    </row>
    <row r="94" spans="1:14" ht="14.4">
      <c r="A94" s="14"/>
      <c r="B94" s="152" t="s">
        <v>625</v>
      </c>
      <c r="C94" s="156">
        <f>+C41/C42</f>
        <v>3.4210733741345463</v>
      </c>
      <c r="D94" s="156">
        <f>+D41/D42</f>
        <v>3.1009225972672003</v>
      </c>
      <c r="E94" s="156">
        <f>+E41/E42</f>
        <v>1.9830246411562809</v>
      </c>
      <c r="G94" s="133"/>
    </row>
    <row r="95" spans="1:14" ht="14.4">
      <c r="A95" s="14" t="str">
        <f>IF(G93&gt;0,$A$152,$A$153)</f>
        <v>EVOLUCIÓN NEGATIVA DEL RATIO</v>
      </c>
      <c r="B95" s="14"/>
      <c r="C95" s="150"/>
      <c r="D95" s="150"/>
      <c r="E95" s="150"/>
      <c r="G95" s="133"/>
    </row>
    <row r="96" spans="1:14" ht="14.4">
      <c r="A96" s="14" t="s">
        <v>627</v>
      </c>
      <c r="B96" s="14"/>
      <c r="C96" s="150"/>
      <c r="D96" s="150"/>
      <c r="E96" s="150"/>
      <c r="G96" s="133"/>
      <c r="H96" s="171" t="s">
        <v>619</v>
      </c>
      <c r="I96" s="171" t="s">
        <v>620</v>
      </c>
      <c r="J96" s="171" t="s">
        <v>621</v>
      </c>
    </row>
    <row r="97" spans="1:14" ht="14.4">
      <c r="A97" s="14"/>
      <c r="B97" s="14"/>
      <c r="C97" s="150"/>
      <c r="D97" s="155"/>
      <c r="E97" s="155"/>
      <c r="G97" s="133"/>
      <c r="H97" s="172">
        <v>1.5</v>
      </c>
      <c r="I97" s="172"/>
      <c r="J97" s="173">
        <v>1</v>
      </c>
    </row>
    <row r="98" spans="1:14" ht="14.4">
      <c r="A98" s="571" t="s">
        <v>21</v>
      </c>
      <c r="B98" s="571"/>
      <c r="C98" s="151">
        <f>+('AG15.1.1'!M160-'AG15.1.1'!M138)/'AG15.1.1'!M20</f>
        <v>1.5326119505459934</v>
      </c>
      <c r="D98" s="151">
        <f>+('AG15.1.1'!K160-'AG15.1.1'!K138)/'AG15.1.1'!K20</f>
        <v>1.681694194838667</v>
      </c>
      <c r="E98" s="151">
        <f>+('AG15.1.1'!I160-'AG15.1.1'!I138)/'AG15.1.1'!I20</f>
        <v>1.6179708763109082</v>
      </c>
      <c r="G98" s="133">
        <f>+E98-D98</f>
        <v>-6.372331852775881E-2</v>
      </c>
      <c r="H98" s="146" t="str">
        <f>IF(E98&gt;=H97,"ok","")</f>
        <v>ok</v>
      </c>
      <c r="I98" s="146" t="str">
        <f>IF(E98&lt;H97,IF(E98&gt;=J97,"ok",""),"")</f>
        <v/>
      </c>
      <c r="J98" s="146" t="str">
        <f>IF(E98&lt;J97,"ok","")</f>
        <v/>
      </c>
      <c r="K98" s="10" t="str">
        <f>+H98</f>
        <v>ok</v>
      </c>
      <c r="L98" s="10" t="str">
        <f>+I98</f>
        <v/>
      </c>
      <c r="M98" s="10" t="str">
        <f>+J98</f>
        <v/>
      </c>
      <c r="N98" s="196">
        <f>+COUNTIF(K98:M98,"ok")</f>
        <v>1</v>
      </c>
    </row>
    <row r="99" spans="1:14" ht="14.4">
      <c r="A99" s="14" t="str">
        <f>IF(G98&gt;0,$A$152,$A$153)</f>
        <v>EVOLUCIÓN NEGATIVA DEL RATIO</v>
      </c>
      <c r="B99" s="14"/>
      <c r="C99" s="150"/>
      <c r="D99" s="155"/>
      <c r="E99" s="155"/>
      <c r="F99" s="150"/>
      <c r="G99" s="133"/>
    </row>
    <row r="100" spans="1:14" ht="14.4">
      <c r="A100" s="14" t="s">
        <v>628</v>
      </c>
      <c r="B100" s="14"/>
      <c r="C100" s="150"/>
      <c r="D100" s="155"/>
      <c r="E100" s="155"/>
      <c r="F100" s="150"/>
      <c r="G100" s="133"/>
      <c r="H100" s="171" t="s">
        <v>619</v>
      </c>
      <c r="I100" s="171" t="s">
        <v>620</v>
      </c>
      <c r="J100" s="171" t="s">
        <v>621</v>
      </c>
    </row>
    <row r="101" spans="1:14" ht="14.4">
      <c r="A101" s="14"/>
      <c r="B101" s="14"/>
      <c r="C101" s="150"/>
      <c r="D101" s="155"/>
      <c r="E101" s="155"/>
      <c r="F101" s="150"/>
      <c r="G101" s="133"/>
      <c r="H101" s="172">
        <v>30</v>
      </c>
      <c r="I101" s="172"/>
      <c r="J101" s="173">
        <v>60</v>
      </c>
    </row>
    <row r="102" spans="1:14" ht="14.4">
      <c r="A102" s="571" t="s">
        <v>22</v>
      </c>
      <c r="B102" s="571"/>
      <c r="C102" s="156">
        <f>+(C93/C25)*360</f>
        <v>170.15080209281462</v>
      </c>
      <c r="D102" s="156">
        <f>+(D93/D25)*360</f>
        <v>208.33528895661649</v>
      </c>
      <c r="E102" s="156">
        <f>+(E93/E25)*IF(E22=TRUE,12*30,G22*30)</f>
        <v>194.98197829728224</v>
      </c>
      <c r="G102" s="133">
        <f>+E102-D102</f>
        <v>-13.353310659334255</v>
      </c>
      <c r="H102" s="146" t="str">
        <f>IF(E102&lt;0,"",IF(E102&lt;=H101,"ok",""))</f>
        <v/>
      </c>
      <c r="I102" s="146" t="str">
        <f>IF(E102&lt;0,"ok",IF(E102&gt;H101,IF(E102&lt;=J101,"ok",""),""))</f>
        <v/>
      </c>
      <c r="J102" s="146" t="str">
        <f>+IF(E102&lt;0,"",IF(E102&gt;J101,"ok",""))</f>
        <v>ok</v>
      </c>
      <c r="K102" s="10" t="str">
        <f>+H102</f>
        <v/>
      </c>
      <c r="L102" s="10" t="str">
        <f>+I102</f>
        <v/>
      </c>
      <c r="M102" s="10" t="str">
        <f>+J102</f>
        <v>ok</v>
      </c>
      <c r="N102" s="196">
        <f>+COUNTIF(K102:M102,"ok")</f>
        <v>1</v>
      </c>
    </row>
    <row r="103" spans="1:14" ht="14.4">
      <c r="A103" s="14" t="str">
        <f>IF(G102&gt;0,$A$152,$A$153)</f>
        <v>EVOLUCIÓN NEGATIVA DEL RATIO</v>
      </c>
      <c r="B103" s="14"/>
      <c r="C103" s="150"/>
      <c r="D103" s="150"/>
      <c r="E103" s="150"/>
      <c r="F103" s="150"/>
      <c r="G103" s="133"/>
    </row>
    <row r="104" spans="1:14" ht="14.4">
      <c r="A104" s="14" t="s">
        <v>23</v>
      </c>
      <c r="B104" s="14"/>
      <c r="C104" s="150"/>
      <c r="D104" s="150"/>
      <c r="E104" s="150"/>
      <c r="F104" s="150"/>
      <c r="G104" s="133"/>
      <c r="H104" s="171" t="s">
        <v>619</v>
      </c>
      <c r="I104" s="171" t="s">
        <v>620</v>
      </c>
      <c r="J104" s="171" t="s">
        <v>621</v>
      </c>
    </row>
    <row r="105" spans="1:14" ht="14.4">
      <c r="A105" s="14"/>
      <c r="B105" s="14"/>
      <c r="C105" s="150"/>
      <c r="D105" s="150"/>
      <c r="E105" s="150"/>
      <c r="F105" s="150"/>
      <c r="G105" s="133"/>
      <c r="H105" s="172">
        <v>65</v>
      </c>
      <c r="I105" s="172"/>
      <c r="J105" s="173">
        <v>90</v>
      </c>
    </row>
    <row r="106" spans="1:14" ht="14.4">
      <c r="A106" s="571" t="s">
        <v>24</v>
      </c>
      <c r="B106" s="571"/>
      <c r="C106" s="151">
        <f>+(SUM('AG15.1.1'!M64:M65)/'AG15.1.3'!C25)*360</f>
        <v>61.452077025056681</v>
      </c>
      <c r="D106" s="151">
        <f>+(SUM('AG15.1.1'!K64:K65)/'AG15.1.3'!D25)*360</f>
        <v>69.316776496722156</v>
      </c>
      <c r="E106" s="151">
        <f>+(SUM('AG15.1.1'!I64:I65)/'AG15.1.3'!E25)*IF(E22="VERDADERO",12*30,G22*30)</f>
        <v>115.58968823416996</v>
      </c>
      <c r="G106" s="133">
        <f>+D106-E106</f>
        <v>-46.272911737447799</v>
      </c>
      <c r="H106" s="146" t="str">
        <f>IF(E106&lt;=H105,"ok","")</f>
        <v/>
      </c>
      <c r="I106" s="146" t="str">
        <f>IF(E106&gt;H105,IF(E106&lt;=J105,"ok",""),"")</f>
        <v/>
      </c>
      <c r="J106" s="146" t="str">
        <f>IF(E106&gt;J105,"ok","")</f>
        <v>ok</v>
      </c>
      <c r="K106" s="10" t="str">
        <f>+H106</f>
        <v/>
      </c>
      <c r="L106" s="10" t="str">
        <f>+I106</f>
        <v/>
      </c>
      <c r="M106" s="10" t="str">
        <f>+J106</f>
        <v>ok</v>
      </c>
      <c r="N106" s="196">
        <f>+COUNTIF(K106:M106,"ok")</f>
        <v>1</v>
      </c>
    </row>
    <row r="107" spans="1:14" ht="14.4">
      <c r="A107" s="14" t="str">
        <f>IF(G106&gt;0,$A$152,$A$153)</f>
        <v>EVOLUCIÓN NEGATIVA DEL RATIO</v>
      </c>
      <c r="B107" s="14"/>
      <c r="C107" s="150"/>
      <c r="D107" s="155"/>
      <c r="E107" s="155"/>
      <c r="F107" s="150"/>
      <c r="G107" s="133"/>
    </row>
    <row r="108" spans="1:14" ht="14.4">
      <c r="A108" s="14" t="s">
        <v>25</v>
      </c>
      <c r="B108" s="14"/>
      <c r="C108" s="150"/>
      <c r="D108" s="155"/>
      <c r="E108" s="155"/>
      <c r="F108" s="150"/>
      <c r="G108" s="133"/>
      <c r="H108" s="171" t="s">
        <v>619</v>
      </c>
      <c r="I108" s="171" t="s">
        <v>620</v>
      </c>
      <c r="J108" s="171" t="s">
        <v>621</v>
      </c>
    </row>
    <row r="109" spans="1:14" ht="14.4">
      <c r="A109" s="14"/>
      <c r="B109" s="14"/>
      <c r="C109" s="150"/>
      <c r="D109" s="155"/>
      <c r="E109" s="155"/>
      <c r="F109" s="150"/>
      <c r="G109" s="133"/>
      <c r="H109" s="172">
        <v>90</v>
      </c>
      <c r="I109" s="172"/>
      <c r="J109" s="173">
        <v>65</v>
      </c>
    </row>
    <row r="110" spans="1:14" ht="14.4">
      <c r="A110" s="571" t="s">
        <v>26</v>
      </c>
      <c r="B110" s="571"/>
      <c r="C110" s="151">
        <f>+(SUM('AG15.1.1'!M151:M152)/C24)*360</f>
        <v>71.375601910427989</v>
      </c>
      <c r="D110" s="151">
        <f>+(SUM('AG15.1.1'!K151:K152)/D24)*360</f>
        <v>114.98926547006687</v>
      </c>
      <c r="E110" s="151">
        <f>+(SUM('AG15.1.1'!I151:I152)/E24)*IF(E22="VERDADERO",12*30,G22*30)</f>
        <v>116.78109122829255</v>
      </c>
      <c r="G110" s="133">
        <f>+E110-D110</f>
        <v>1.7918257582256842</v>
      </c>
      <c r="H110" s="146" t="str">
        <f>IF(E110&gt;=H109,"ok","")</f>
        <v>ok</v>
      </c>
      <c r="I110" s="146" t="str">
        <f>IF(E110&lt;H109,IF(E110&gt;=J109,"ok",""),"")</f>
        <v/>
      </c>
      <c r="J110" s="146" t="str">
        <f>IF(E110&lt;J109,"ok","")</f>
        <v/>
      </c>
      <c r="K110" s="10" t="str">
        <f>+H110</f>
        <v>ok</v>
      </c>
      <c r="L110" s="10" t="str">
        <f>+I110</f>
        <v/>
      </c>
      <c r="M110" s="10" t="str">
        <f>+J110</f>
        <v/>
      </c>
      <c r="N110" s="196">
        <f>+COUNTIF(K110:M110,"ok")</f>
        <v>1</v>
      </c>
    </row>
    <row r="111" spans="1:14" ht="14.4">
      <c r="A111" s="14" t="str">
        <f>IF(G110&gt;0,$A$152,$A$153)</f>
        <v>EVOLUCIÓN POSITIVA DEL RATIO</v>
      </c>
      <c r="B111" s="14"/>
      <c r="C111" s="150"/>
      <c r="D111" s="155"/>
      <c r="E111" s="155"/>
      <c r="F111" s="150"/>
      <c r="G111" s="133"/>
    </row>
    <row r="112" spans="1:14" ht="14.4">
      <c r="A112" s="14" t="s">
        <v>27</v>
      </c>
      <c r="B112" s="14"/>
      <c r="C112" s="150"/>
      <c r="D112" s="155"/>
      <c r="E112" s="155"/>
      <c r="F112" s="150"/>
      <c r="G112" s="133"/>
    </row>
    <row r="113" spans="1:14" ht="14.4">
      <c r="A113" s="14"/>
      <c r="B113" s="14"/>
      <c r="C113" s="150"/>
      <c r="D113" s="155"/>
      <c r="E113" s="155"/>
      <c r="F113" s="150"/>
      <c r="G113" s="133"/>
    </row>
    <row r="114" spans="1:14" ht="15" thickBot="1">
      <c r="A114" s="14"/>
      <c r="B114" s="14"/>
      <c r="C114" s="135"/>
      <c r="D114" s="135"/>
      <c r="E114" s="135"/>
      <c r="F114" s="135"/>
      <c r="G114" s="133"/>
    </row>
    <row r="115" spans="1:14" ht="15" thickBot="1">
      <c r="A115" s="584" t="s">
        <v>931</v>
      </c>
      <c r="B115" s="585"/>
      <c r="C115" s="585"/>
      <c r="D115" s="585"/>
      <c r="E115" s="586"/>
      <c r="F115" s="135"/>
      <c r="G115" s="133"/>
      <c r="H115" s="171" t="s">
        <v>619</v>
      </c>
      <c r="I115" s="171" t="s">
        <v>620</v>
      </c>
      <c r="J115" s="171" t="s">
        <v>621</v>
      </c>
    </row>
    <row r="116" spans="1:14" ht="14.4">
      <c r="A116" s="14"/>
      <c r="B116" s="14"/>
      <c r="C116" s="135"/>
      <c r="D116" s="135"/>
      <c r="E116" s="135"/>
      <c r="F116" s="135"/>
      <c r="G116" s="133"/>
      <c r="H116" s="344">
        <v>0.6</v>
      </c>
      <c r="I116" s="172"/>
      <c r="J116" s="345">
        <v>0.8</v>
      </c>
    </row>
    <row r="117" spans="1:14" ht="14.4">
      <c r="A117" s="578" t="s">
        <v>28</v>
      </c>
      <c r="B117" s="579"/>
      <c r="C117" s="181">
        <f>+((C39-C40)/C39)</f>
        <v>0.13210953939068112</v>
      </c>
      <c r="D117" s="181">
        <f>+((D39-D40)/D39)</f>
        <v>0.16638774683580743</v>
      </c>
      <c r="E117" s="182">
        <f>+((E39-E40)/E39)</f>
        <v>0.28368245711471252</v>
      </c>
      <c r="G117" s="133">
        <f>+D117-E117</f>
        <v>-0.11729471027890509</v>
      </c>
      <c r="H117" s="146" t="str">
        <f>IF(E117&lt;=H116,"ok","")</f>
        <v>ok</v>
      </c>
      <c r="I117" s="146" t="str">
        <f>IF(E117&gt;H116,IF(E117&lt;=J116,"ok",""),"")</f>
        <v/>
      </c>
      <c r="J117" s="146" t="str">
        <f>IF(E117&gt;J116,"ok","")</f>
        <v/>
      </c>
      <c r="K117" s="10" t="str">
        <f>+H117</f>
        <v>ok</v>
      </c>
      <c r="L117" s="10" t="str">
        <f>+I117</f>
        <v/>
      </c>
      <c r="M117" s="10" t="str">
        <f>+J117</f>
        <v/>
      </c>
      <c r="N117" s="196">
        <f>+COUNTIF(K117:M117,"ok")</f>
        <v>1</v>
      </c>
    </row>
    <row r="118" spans="1:14" ht="14.4">
      <c r="A118" s="14" t="str">
        <f>IF(G117&gt;0,$A$152,$A$153)</f>
        <v>EVOLUCIÓN NEGATIVA DEL RATIO</v>
      </c>
      <c r="B118" s="14"/>
      <c r="C118" s="148"/>
      <c r="D118" s="148"/>
      <c r="E118" s="148"/>
      <c r="F118" s="150"/>
      <c r="G118" s="133"/>
    </row>
    <row r="119" spans="1:14" ht="14.4">
      <c r="A119" s="14" t="s">
        <v>29</v>
      </c>
      <c r="B119" s="14"/>
      <c r="C119" s="148"/>
      <c r="D119" s="148"/>
      <c r="E119" s="148"/>
      <c r="F119" s="150"/>
      <c r="G119" s="133"/>
      <c r="H119" s="171" t="s">
        <v>619</v>
      </c>
      <c r="I119" s="171" t="s">
        <v>620</v>
      </c>
      <c r="J119" s="171" t="s">
        <v>621</v>
      </c>
    </row>
    <row r="120" spans="1:14" ht="14.4">
      <c r="A120" s="14"/>
      <c r="B120" s="14"/>
      <c r="C120" s="148"/>
      <c r="D120" s="148"/>
      <c r="E120" s="148"/>
      <c r="F120" s="150"/>
      <c r="G120" s="133"/>
      <c r="H120" s="344">
        <v>0.75</v>
      </c>
      <c r="I120" s="172"/>
      <c r="J120" s="345">
        <v>0.5</v>
      </c>
    </row>
    <row r="121" spans="1:14" ht="14.4">
      <c r="A121" s="578" t="s">
        <v>30</v>
      </c>
      <c r="B121" s="579"/>
      <c r="C121" s="183">
        <f>+(C40/('AG15.1.1'!M93+'AG15.1.1'!M121))</f>
        <v>0.99715209802462668</v>
      </c>
      <c r="D121" s="183">
        <f>+(D40/('AG15.1.1'!K93+'AG15.1.1'!K121))</f>
        <v>0.99445321032391409</v>
      </c>
      <c r="E121" s="184">
        <f>+(E40/('AG15.1.1'!I93+'AG15.1.1'!I121))</f>
        <v>0.99463374615006106</v>
      </c>
      <c r="G121" s="133">
        <f>+E121-D121</f>
        <v>1.8053582614696584E-4</v>
      </c>
      <c r="H121" s="146" t="str">
        <f>IF(E121&gt;=H120,"ok","")</f>
        <v>ok</v>
      </c>
      <c r="I121" s="146" t="str">
        <f>IF(E121&lt;H120,IF(E121&gt;=J120,"ok",""),"")</f>
        <v/>
      </c>
      <c r="J121" s="146" t="str">
        <f>IF(E121&lt;J120,"ok","")</f>
        <v/>
      </c>
      <c r="K121" s="10" t="str">
        <f>+H121</f>
        <v>ok</v>
      </c>
      <c r="L121" s="10" t="str">
        <f>+I121</f>
        <v/>
      </c>
      <c r="M121" s="10" t="str">
        <f>+J121</f>
        <v/>
      </c>
      <c r="N121" s="196">
        <f>+COUNTIF(K121:M121,"ok")</f>
        <v>1</v>
      </c>
    </row>
    <row r="122" spans="1:14" ht="14.4">
      <c r="A122" s="14" t="str">
        <f>IF(G121&gt;0,$A$152,$A$153)</f>
        <v>EVOLUCIÓN POSITIVA DEL RATIO</v>
      </c>
      <c r="B122" s="14"/>
      <c r="C122" s="148"/>
      <c r="D122" s="157"/>
      <c r="E122" s="157"/>
      <c r="F122" s="150"/>
      <c r="G122" s="133"/>
    </row>
    <row r="123" spans="1:14" ht="14.4">
      <c r="A123" s="14" t="s">
        <v>31</v>
      </c>
      <c r="B123" s="14"/>
      <c r="C123" s="148"/>
      <c r="D123" s="157"/>
      <c r="E123" s="157"/>
      <c r="F123" s="150"/>
      <c r="G123" s="133"/>
      <c r="H123" s="343"/>
      <c r="I123" s="343"/>
      <c r="J123" s="343"/>
    </row>
    <row r="124" spans="1:14" ht="14.4">
      <c r="A124" s="14"/>
      <c r="B124" s="14"/>
      <c r="C124" s="150"/>
      <c r="D124" s="155"/>
      <c r="E124" s="155"/>
      <c r="F124" s="150"/>
      <c r="G124" s="133"/>
    </row>
    <row r="125" spans="1:14" ht="15" thickBot="1">
      <c r="A125" s="14"/>
      <c r="B125" s="14"/>
      <c r="C125" s="135"/>
      <c r="D125" s="135"/>
      <c r="E125" s="135"/>
      <c r="F125" s="135"/>
      <c r="G125" s="133"/>
    </row>
    <row r="126" spans="1:14" ht="15" thickBot="1">
      <c r="A126" s="584" t="s">
        <v>932</v>
      </c>
      <c r="B126" s="585"/>
      <c r="C126" s="585"/>
      <c r="D126" s="585"/>
      <c r="E126" s="586"/>
      <c r="F126" s="135"/>
      <c r="G126" s="133"/>
      <c r="H126" s="171" t="s">
        <v>619</v>
      </c>
      <c r="I126" s="171" t="s">
        <v>620</v>
      </c>
      <c r="J126" s="171" t="s">
        <v>621</v>
      </c>
    </row>
    <row r="127" spans="1:14" ht="14.4">
      <c r="A127" s="14"/>
      <c r="B127" s="14"/>
      <c r="C127" s="135"/>
      <c r="D127" s="135"/>
      <c r="E127" s="135"/>
      <c r="F127" s="135"/>
      <c r="G127" s="133"/>
      <c r="H127" s="172">
        <v>1.2</v>
      </c>
      <c r="I127" s="172"/>
      <c r="J127" s="173">
        <v>1</v>
      </c>
    </row>
    <row r="128" spans="1:14" ht="14.4">
      <c r="A128" s="571" t="s">
        <v>32</v>
      </c>
      <c r="B128" s="571"/>
      <c r="C128" s="151">
        <f>+('AG15.1.1'!M54)/('AG15.1.1'!M138)</f>
        <v>3.4210733741345463</v>
      </c>
      <c r="D128" s="151">
        <f>+('AG15.1.1'!K54)/('AG15.1.1'!K138)</f>
        <v>3.1009225972672003</v>
      </c>
      <c r="E128" s="151">
        <f>+'AG15.1.1'!I54/'AG15.1.1'!I138</f>
        <v>1.9830246411562809</v>
      </c>
      <c r="G128" s="133">
        <f>+E128-D128</f>
        <v>-1.1178979561109195</v>
      </c>
      <c r="H128" s="146" t="str">
        <f>IF(E128&gt;=H127,"ok","")</f>
        <v>ok</v>
      </c>
      <c r="I128" s="146" t="str">
        <f>IF(E128&lt;H127,IF(E128&gt;=J127,"ok",""),"")</f>
        <v/>
      </c>
      <c r="J128" s="146" t="str">
        <f>IF(E128&lt;J127,"ok","")</f>
        <v/>
      </c>
      <c r="K128" s="10" t="str">
        <f>+H128</f>
        <v>ok</v>
      </c>
      <c r="L128" s="10" t="str">
        <f>+I128</f>
        <v/>
      </c>
      <c r="M128" s="10" t="str">
        <f>+J128</f>
        <v/>
      </c>
      <c r="N128" s="196">
        <f>+COUNTIF(K128:M128,"ok")</f>
        <v>1</v>
      </c>
    </row>
    <row r="129" spans="1:21" ht="14.4">
      <c r="A129" s="14" t="str">
        <f>IF(G128&gt;0,$A$152,$A$153)</f>
        <v>EVOLUCIÓN NEGATIVA DEL RATIO</v>
      </c>
      <c r="B129" s="14"/>
      <c r="C129" s="150"/>
      <c r="D129" s="155"/>
      <c r="E129" s="155"/>
      <c r="F129" s="150"/>
      <c r="G129" s="133"/>
    </row>
    <row r="130" spans="1:21" ht="14.4">
      <c r="A130" s="14" t="s">
        <v>33</v>
      </c>
      <c r="B130" s="14"/>
      <c r="C130" s="150"/>
      <c r="D130" s="155"/>
      <c r="E130" s="155"/>
      <c r="F130" s="150"/>
      <c r="G130" s="133"/>
      <c r="H130" s="171" t="s">
        <v>619</v>
      </c>
      <c r="I130" s="171" t="s">
        <v>620</v>
      </c>
      <c r="J130" s="171" t="s">
        <v>621</v>
      </c>
    </row>
    <row r="131" spans="1:21" ht="14.4">
      <c r="A131" s="14"/>
      <c r="B131" s="14"/>
      <c r="C131" s="150"/>
      <c r="D131" s="155"/>
      <c r="E131" s="155"/>
      <c r="F131" s="150"/>
      <c r="G131" s="133"/>
      <c r="H131" s="172">
        <v>0.2</v>
      </c>
      <c r="I131" s="172"/>
      <c r="J131" s="173">
        <v>0.05</v>
      </c>
    </row>
    <row r="132" spans="1:21" ht="14.4">
      <c r="A132" s="571" t="s">
        <v>34</v>
      </c>
      <c r="B132" s="571"/>
      <c r="C132" s="151">
        <f>+('AG15.1.1'!M71+'AG15.1.1'!M78+'AG15.1.1'!M86)/'AG15.1.1'!M138</f>
        <v>1.6615450899661306</v>
      </c>
      <c r="D132" s="151">
        <f>+('AG15.1.1'!K71+'AG15.1.1'!K78+'AG15.1.1'!K86)/'AG15.1.1'!K138</f>
        <v>1.4219238623769979</v>
      </c>
      <c r="E132" s="151">
        <f>+('AG15.1.1'!I71+'AG15.1.1'!I78+'AG15.1.1'!I86)/'AG15.1.1'!I138</f>
        <v>0.68944947324818817</v>
      </c>
      <c r="G132" s="133">
        <f>+E132-D132</f>
        <v>-0.73247438912880969</v>
      </c>
      <c r="H132" s="146" t="str">
        <f>IF(E132&gt;=H131,"ok","")</f>
        <v>ok</v>
      </c>
      <c r="I132" s="146" t="str">
        <f>IF(E132&lt;H131,IF(E132&gt;=J131,"ok",""),"")</f>
        <v/>
      </c>
      <c r="J132" s="146" t="str">
        <f>IF(E132&lt;J131,"ok","")</f>
        <v/>
      </c>
      <c r="K132" s="10" t="str">
        <f>+H132</f>
        <v>ok</v>
      </c>
      <c r="L132" s="10" t="str">
        <f>+I132</f>
        <v/>
      </c>
      <c r="M132" s="10" t="str">
        <f>+J132</f>
        <v/>
      </c>
      <c r="N132" s="196">
        <f>+COUNTIF(K132:M132,"ok")</f>
        <v>1</v>
      </c>
    </row>
    <row r="133" spans="1:21" ht="14.4">
      <c r="A133" s="14" t="str">
        <f>IF(G132&gt;0,$A$152,$A$153)</f>
        <v>EVOLUCIÓN NEGATIVA DEL RATIO</v>
      </c>
      <c r="B133" s="14"/>
      <c r="C133" s="150"/>
      <c r="D133" s="155"/>
      <c r="E133" s="155"/>
      <c r="F133" s="150"/>
      <c r="G133" s="133"/>
      <c r="N133" s="196">
        <f>+COUNTIF(N58:N132,1)</f>
        <v>16</v>
      </c>
    </row>
    <row r="134" spans="1:21" ht="14.4">
      <c r="A134" s="211" t="s">
        <v>35</v>
      </c>
      <c r="B134" s="14"/>
      <c r="C134" s="150"/>
      <c r="D134" s="155"/>
      <c r="E134" s="155"/>
      <c r="F134" s="150"/>
      <c r="G134" s="133"/>
    </row>
    <row r="135" spans="1:21" ht="14.4">
      <c r="A135" s="14"/>
      <c r="B135" s="14"/>
      <c r="C135" s="150"/>
      <c r="D135" s="155"/>
      <c r="E135" s="155"/>
      <c r="F135" s="150"/>
      <c r="G135" s="133"/>
      <c r="M135" s="196"/>
    </row>
    <row r="136" spans="1:21" ht="14.4">
      <c r="A136" s="14"/>
      <c r="B136" s="14"/>
      <c r="C136" s="150"/>
      <c r="D136" s="150"/>
      <c r="E136" s="150"/>
      <c r="F136" s="150"/>
      <c r="G136" s="28"/>
      <c r="I136" s="144"/>
      <c r="J136" s="144"/>
      <c r="K136" s="185"/>
      <c r="L136" s="185"/>
      <c r="M136" s="342"/>
      <c r="N136" s="342"/>
      <c r="O136" s="197"/>
      <c r="P136" s="197"/>
      <c r="Q136" s="197"/>
      <c r="R136" s="342"/>
      <c r="S136" s="342"/>
      <c r="T136" s="404"/>
      <c r="U136" s="185"/>
    </row>
    <row r="137" spans="1:21">
      <c r="A137" s="169" t="s">
        <v>629</v>
      </c>
      <c r="B137" s="170"/>
      <c r="C137" s="158"/>
      <c r="D137" s="158"/>
      <c r="E137" s="158"/>
      <c r="F137" s="158"/>
      <c r="G137" s="158"/>
      <c r="H137" s="580" t="str">
        <f>CONCATENATE("ANALISIS DE RATIOS: RIESGO ", Q149)</f>
        <v>ANALISIS DE RATIOS: RIESGO MEDIO</v>
      </c>
      <c r="I137" s="581"/>
      <c r="J137" s="582"/>
      <c r="K137" s="187"/>
      <c r="L137" s="187"/>
      <c r="M137" s="189"/>
      <c r="N137" s="189"/>
      <c r="O137" s="197">
        <f>COUNTIF(K56:K133,"ok")</f>
        <v>8</v>
      </c>
      <c r="P137" s="197">
        <f>COUNTIF(L56:L133,"ok")</f>
        <v>3</v>
      </c>
      <c r="Q137" s="197">
        <f>COUNTIF(M56:M133,"ok")</f>
        <v>5</v>
      </c>
      <c r="R137" s="189"/>
      <c r="S137" s="189"/>
      <c r="T137" s="187"/>
      <c r="U137" s="187"/>
    </row>
    <row r="138" spans="1:21">
      <c r="A138" s="145"/>
      <c r="B138" s="158"/>
      <c r="C138" s="158"/>
      <c r="D138" s="158"/>
      <c r="E138" s="158"/>
      <c r="F138" s="158"/>
      <c r="G138" s="158"/>
      <c r="H138" s="158"/>
      <c r="I138" s="158"/>
      <c r="J138" s="158"/>
      <c r="K138" s="187"/>
      <c r="L138" s="187"/>
      <c r="M138" s="189"/>
      <c r="N138" s="189"/>
      <c r="O138" s="194"/>
      <c r="P138" s="194">
        <f>+(O137*0+P137*1+Q137*2)/N133</f>
        <v>0.8125</v>
      </c>
      <c r="R138" s="189"/>
      <c r="S138" s="189"/>
      <c r="T138" s="187"/>
      <c r="U138" s="187"/>
    </row>
    <row r="139" spans="1:21" ht="14.4">
      <c r="A139" s="145" t="s">
        <v>630</v>
      </c>
      <c r="B139" s="158"/>
      <c r="C139" s="158"/>
      <c r="D139" s="158"/>
      <c r="E139" s="158"/>
      <c r="F139" s="159"/>
      <c r="G139" s="158"/>
      <c r="H139" s="158"/>
      <c r="I139" s="158"/>
      <c r="J139" s="158"/>
      <c r="K139" s="187"/>
      <c r="L139" s="187"/>
      <c r="M139" s="189"/>
      <c r="N139" s="189"/>
      <c r="O139" s="198"/>
      <c r="P139" s="199"/>
      <c r="Q139" s="190">
        <v>1.33</v>
      </c>
      <c r="R139" s="189"/>
      <c r="S139" s="189"/>
      <c r="T139" s="187"/>
      <c r="U139" s="187"/>
    </row>
    <row r="140" spans="1:21" ht="14.4">
      <c r="A140" s="160"/>
      <c r="B140" s="160"/>
      <c r="C140" s="161"/>
      <c r="D140" s="161"/>
      <c r="E140" s="161"/>
      <c r="F140" s="162"/>
      <c r="G140" s="163"/>
      <c r="H140" s="163"/>
      <c r="I140" s="163"/>
      <c r="J140" s="164"/>
      <c r="K140" s="188"/>
      <c r="L140" s="188"/>
      <c r="M140" s="192"/>
      <c r="N140" s="192"/>
      <c r="O140" s="198"/>
      <c r="P140" s="191">
        <v>0.5</v>
      </c>
      <c r="Q140" s="190">
        <v>1.33</v>
      </c>
      <c r="R140" s="192"/>
      <c r="S140" s="192"/>
      <c r="T140" s="188"/>
      <c r="U140" s="188"/>
    </row>
    <row r="141" spans="1:21" ht="14.4">
      <c r="A141" s="165"/>
      <c r="B141" s="165"/>
      <c r="C141" s="166"/>
      <c r="D141" s="166"/>
      <c r="E141" s="166"/>
      <c r="F141" s="162"/>
      <c r="G141" s="163"/>
      <c r="H141" s="163"/>
      <c r="I141" s="163"/>
      <c r="J141" s="164"/>
      <c r="K141" s="188"/>
      <c r="L141" s="188"/>
      <c r="M141" s="192"/>
      <c r="N141" s="192"/>
      <c r="O141" s="198"/>
      <c r="P141" s="191">
        <v>1</v>
      </c>
      <c r="Q141" s="190">
        <v>0</v>
      </c>
      <c r="R141" s="192"/>
      <c r="S141" s="192"/>
      <c r="T141" s="188"/>
      <c r="U141" s="188"/>
    </row>
    <row r="142" spans="1:21" ht="14.4">
      <c r="A142" s="165"/>
      <c r="B142" s="165"/>
      <c r="C142" s="166"/>
      <c r="D142" s="166"/>
      <c r="E142" s="166"/>
      <c r="F142" s="162"/>
      <c r="G142" s="163"/>
      <c r="H142" s="163"/>
      <c r="I142" s="163"/>
      <c r="J142" s="164"/>
      <c r="K142" s="188"/>
      <c r="L142" s="188"/>
      <c r="M142" s="192"/>
      <c r="N142" s="192"/>
      <c r="O142" s="198"/>
      <c r="P142" s="191">
        <v>1.5</v>
      </c>
      <c r="Q142" s="190">
        <v>1.33</v>
      </c>
      <c r="R142" s="192"/>
      <c r="S142" s="192"/>
      <c r="T142" s="188"/>
      <c r="U142" s="188"/>
    </row>
    <row r="143" spans="1:21" ht="14.4">
      <c r="A143" s="165"/>
      <c r="B143" s="165"/>
      <c r="C143" s="166"/>
      <c r="D143" s="166"/>
      <c r="E143" s="166"/>
      <c r="F143" s="162"/>
      <c r="G143" s="163"/>
      <c r="H143" s="163"/>
      <c r="I143" s="163"/>
      <c r="J143" s="164"/>
      <c r="K143" s="188"/>
      <c r="L143" s="188"/>
      <c r="M143" s="192"/>
      <c r="N143" s="192"/>
      <c r="O143" s="198"/>
      <c r="P143" s="191">
        <v>2</v>
      </c>
      <c r="Q143" s="190">
        <v>4</v>
      </c>
      <c r="R143" s="192"/>
      <c r="S143" s="192"/>
      <c r="T143" s="188"/>
      <c r="U143" s="188"/>
    </row>
    <row r="144" spans="1:21" ht="14.4">
      <c r="A144" s="165"/>
      <c r="B144" s="165"/>
      <c r="C144" s="166"/>
      <c r="D144" s="166"/>
      <c r="E144" s="166"/>
      <c r="F144" s="162"/>
      <c r="G144" s="163"/>
      <c r="H144" s="163"/>
      <c r="I144" s="163"/>
      <c r="J144" s="164"/>
      <c r="K144" s="188"/>
      <c r="L144" s="188"/>
      <c r="M144" s="192"/>
      <c r="N144" s="192"/>
      <c r="O144" s="198"/>
      <c r="P144" s="190"/>
      <c r="Q144" s="193">
        <f>ROUND(+P138,2)</f>
        <v>0.81</v>
      </c>
      <c r="R144" s="190">
        <f>+Q144*100</f>
        <v>81</v>
      </c>
      <c r="S144" s="192"/>
      <c r="T144" s="188"/>
      <c r="U144" s="188"/>
    </row>
    <row r="145" spans="1:21" ht="14.4">
      <c r="A145" s="165"/>
      <c r="B145" s="165"/>
      <c r="C145" s="166"/>
      <c r="D145" s="166"/>
      <c r="E145" s="166"/>
      <c r="F145" s="162"/>
      <c r="G145" s="163"/>
      <c r="H145" s="163"/>
      <c r="I145" s="163"/>
      <c r="J145" s="164"/>
      <c r="K145" s="188"/>
      <c r="L145" s="188"/>
      <c r="M145" s="192"/>
      <c r="N145" s="192"/>
      <c r="O145" s="198"/>
      <c r="P145" s="190" t="s">
        <v>631</v>
      </c>
      <c r="Q145" s="190">
        <f>Q144*PI()/2</f>
        <v>1.2723450247038663</v>
      </c>
      <c r="R145" s="190"/>
      <c r="S145" s="192"/>
      <c r="T145" s="188"/>
      <c r="U145" s="188"/>
    </row>
    <row r="146" spans="1:21" ht="14.4">
      <c r="A146" s="165"/>
      <c r="B146" s="165"/>
      <c r="C146" s="166"/>
      <c r="D146" s="166"/>
      <c r="E146" s="166"/>
      <c r="F146" s="162"/>
      <c r="G146" s="163"/>
      <c r="H146" s="163"/>
      <c r="I146" s="163"/>
      <c r="J146" s="164"/>
      <c r="K146" s="188"/>
      <c r="L146" s="188"/>
      <c r="M146" s="192"/>
      <c r="N146" s="192"/>
      <c r="O146" s="198"/>
      <c r="P146" s="190" t="s">
        <v>632</v>
      </c>
      <c r="Q146" s="190" t="s">
        <v>633</v>
      </c>
      <c r="R146" s="190" t="s">
        <v>945</v>
      </c>
      <c r="S146" s="192"/>
      <c r="T146" s="188"/>
      <c r="U146" s="188"/>
    </row>
    <row r="147" spans="1:21" ht="15" customHeight="1">
      <c r="A147" s="163"/>
      <c r="B147" s="163"/>
      <c r="C147" s="167"/>
      <c r="D147" s="167"/>
      <c r="E147" s="167"/>
      <c r="F147" s="162"/>
      <c r="G147" s="163"/>
      <c r="H147" s="163"/>
      <c r="I147" s="163"/>
      <c r="J147" s="164"/>
      <c r="K147" s="188"/>
      <c r="L147" s="188"/>
      <c r="M147" s="192"/>
      <c r="N147" s="192"/>
      <c r="O147" s="198"/>
      <c r="P147" s="190">
        <v>1</v>
      </c>
      <c r="Q147" s="190">
        <v>0</v>
      </c>
      <c r="R147" s="190">
        <v>0</v>
      </c>
      <c r="S147" s="192"/>
      <c r="T147" s="188"/>
      <c r="U147" s="188"/>
    </row>
    <row r="148" spans="1:21" ht="15" customHeight="1">
      <c r="A148" s="583" t="str">
        <f>CONCATENATE("En conclusión, el riesgo derivado del análisis de ratios de los últimos 3 ejercicios es ",Q149)</f>
        <v>En conclusión, el riesgo derivado del análisis de ratios de los últimos 3 ejercicios es MEDIO</v>
      </c>
      <c r="B148" s="583"/>
      <c r="C148" s="583"/>
      <c r="D148" s="583"/>
      <c r="E148" s="583"/>
      <c r="F148" s="174"/>
      <c r="G148" s="163"/>
      <c r="H148" s="163"/>
      <c r="I148" s="163"/>
      <c r="J148" s="164"/>
      <c r="K148" s="188"/>
      <c r="L148" s="188"/>
      <c r="M148" s="192"/>
      <c r="N148" s="192"/>
      <c r="O148" s="198"/>
      <c r="P148" s="190">
        <v>2</v>
      </c>
      <c r="Q148" s="190">
        <f>-COS(Q145)</f>
        <v>-0.29404032523230389</v>
      </c>
      <c r="R148" s="190">
        <f>SIN(Q145)</f>
        <v>0.95579301479833012</v>
      </c>
      <c r="S148" s="192"/>
      <c r="T148" s="188"/>
      <c r="U148" s="188"/>
    </row>
    <row r="149" spans="1:21" ht="14.4">
      <c r="A149" s="583" t="s">
        <v>634</v>
      </c>
      <c r="B149" s="583"/>
      <c r="C149" s="583"/>
      <c r="D149" s="583"/>
      <c r="E149" s="583"/>
      <c r="F149" s="174"/>
      <c r="G149" s="163"/>
      <c r="H149" s="163"/>
      <c r="I149" s="163"/>
      <c r="J149" s="164"/>
      <c r="K149" s="188"/>
      <c r="L149" s="188"/>
      <c r="M149" s="192"/>
      <c r="N149" s="192"/>
      <c r="O149" s="198"/>
      <c r="P149" s="190"/>
      <c r="Q149" s="190" t="str">
        <f>IF(P138&gt;0.66,IF(P138&lt;1.33,"MEDIO","ALTO"),"BAJO")</f>
        <v>MEDIO</v>
      </c>
      <c r="R149" s="192"/>
      <c r="S149" s="192"/>
      <c r="T149" s="188"/>
      <c r="U149" s="188"/>
    </row>
    <row r="150" spans="1:21" hidden="1">
      <c r="A150" s="168" t="s">
        <v>36</v>
      </c>
      <c r="G150" s="28"/>
      <c r="K150" s="186"/>
      <c r="L150" s="186"/>
      <c r="M150" s="196"/>
      <c r="U150" s="186"/>
    </row>
    <row r="151" spans="1:21" hidden="1">
      <c r="A151" s="168" t="s">
        <v>37</v>
      </c>
      <c r="G151" s="28"/>
      <c r="K151" s="186"/>
      <c r="L151" s="186"/>
      <c r="M151" s="196"/>
      <c r="U151" s="186"/>
    </row>
    <row r="152" spans="1:21" hidden="1">
      <c r="A152" s="168" t="s">
        <v>635</v>
      </c>
      <c r="G152" s="28"/>
      <c r="K152" s="186"/>
      <c r="L152" s="186"/>
      <c r="M152" s="196"/>
      <c r="U152" s="186"/>
    </row>
    <row r="153" spans="1:21" hidden="1">
      <c r="A153" s="168" t="s">
        <v>626</v>
      </c>
      <c r="G153" s="28"/>
      <c r="K153" s="186"/>
      <c r="L153" s="186"/>
      <c r="M153" s="196"/>
      <c r="U153" s="186"/>
    </row>
    <row r="154" spans="1:21" hidden="1">
      <c r="K154" s="186"/>
      <c r="L154" s="186"/>
      <c r="M154" s="196"/>
      <c r="U154" s="186"/>
    </row>
    <row r="155" spans="1:21" ht="14.4">
      <c r="A155" s="28" t="s">
        <v>1169</v>
      </c>
      <c r="C155" s="137"/>
      <c r="D155" s="132"/>
      <c r="E155" s="132"/>
      <c r="K155" s="186"/>
      <c r="L155" s="186"/>
      <c r="M155" s="196"/>
      <c r="U155" s="186"/>
    </row>
    <row r="156" spans="1:21" ht="14.4">
      <c r="A156" s="136"/>
      <c r="B156" s="136"/>
      <c r="C156" s="132"/>
      <c r="D156" s="132"/>
      <c r="E156" s="132"/>
      <c r="K156" s="186"/>
      <c r="L156" s="186"/>
      <c r="M156" s="196"/>
      <c r="U156" s="186"/>
    </row>
    <row r="157" spans="1:21" ht="15.6">
      <c r="A157" s="471" t="s">
        <v>38</v>
      </c>
      <c r="B157" s="471"/>
      <c r="C157" s="471"/>
      <c r="D157" s="471"/>
      <c r="E157" s="471"/>
      <c r="F157" s="471"/>
      <c r="G157" s="471"/>
      <c r="H157" s="471"/>
      <c r="I157" s="471"/>
      <c r="J157" s="471"/>
      <c r="K157" s="186"/>
      <c r="L157" s="186"/>
      <c r="M157" s="196"/>
      <c r="U157" s="186"/>
    </row>
    <row r="158" spans="1:21" ht="24.75" customHeight="1">
      <c r="A158" s="541" t="s">
        <v>1159</v>
      </c>
      <c r="B158" s="541"/>
      <c r="C158" s="541"/>
      <c r="D158" s="541"/>
      <c r="E158" s="541"/>
      <c r="F158" s="29"/>
      <c r="G158" s="30"/>
      <c r="H158" s="31"/>
      <c r="I158" s="31"/>
      <c r="J158" s="31"/>
      <c r="K158" s="186"/>
      <c r="L158" s="186"/>
      <c r="M158" s="186"/>
      <c r="U158" s="186"/>
    </row>
    <row r="159" spans="1:21">
      <c r="A159" s="541" t="s">
        <v>328</v>
      </c>
      <c r="B159" s="541"/>
      <c r="C159" s="541"/>
      <c r="D159" s="541"/>
      <c r="E159" s="541"/>
      <c r="F159" s="29"/>
      <c r="G159" s="30"/>
      <c r="H159" s="31"/>
      <c r="I159" s="31"/>
      <c r="J159" s="31"/>
      <c r="K159" s="186"/>
      <c r="L159" s="186"/>
      <c r="M159" s="186"/>
      <c r="U159" s="186"/>
    </row>
    <row r="160" spans="1:21">
      <c r="A160" s="541" t="s">
        <v>1160</v>
      </c>
      <c r="B160" s="541"/>
      <c r="C160" s="541"/>
      <c r="D160" s="541"/>
      <c r="E160" s="541"/>
      <c r="F160" s="138"/>
      <c r="G160" s="138"/>
      <c r="H160" s="138"/>
      <c r="I160" s="138"/>
      <c r="J160" s="138"/>
      <c r="L160" s="186"/>
      <c r="M160" s="186"/>
    </row>
    <row r="161" spans="12:13">
      <c r="L161" s="186"/>
      <c r="M161" s="186"/>
    </row>
    <row r="162" spans="12:13">
      <c r="L162" s="186"/>
      <c r="M162" s="186"/>
    </row>
    <row r="163" spans="12:13">
      <c r="L163" s="186"/>
      <c r="M163" s="186"/>
    </row>
  </sheetData>
  <mergeCells count="53">
    <mergeCell ref="A66:B66"/>
    <mergeCell ref="A117:B117"/>
    <mergeCell ref="A82:B82"/>
    <mergeCell ref="A86:B86"/>
    <mergeCell ref="A93:B93"/>
    <mergeCell ref="A98:B98"/>
    <mergeCell ref="A76:E76"/>
    <mergeCell ref="A91:E91"/>
    <mergeCell ref="A115:E115"/>
    <mergeCell ref="A102:B102"/>
    <mergeCell ref="A106:B106"/>
    <mergeCell ref="A110:B110"/>
    <mergeCell ref="A71:B71"/>
    <mergeCell ref="A78:B78"/>
    <mergeCell ref="A158:E158"/>
    <mergeCell ref="A160:E160"/>
    <mergeCell ref="A121:B121"/>
    <mergeCell ref="A128:B128"/>
    <mergeCell ref="A132:B132"/>
    <mergeCell ref="A157:J157"/>
    <mergeCell ref="H137:J137"/>
    <mergeCell ref="A148:E148"/>
    <mergeCell ref="A149:E149"/>
    <mergeCell ref="A126:E126"/>
    <mergeCell ref="A159:E159"/>
    <mergeCell ref="A62:B62"/>
    <mergeCell ref="A39:B39"/>
    <mergeCell ref="A40:B40"/>
    <mergeCell ref="A41:B41"/>
    <mergeCell ref="A42:B42"/>
    <mergeCell ref="A43:B43"/>
    <mergeCell ref="A56:E56"/>
    <mergeCell ref="A58:B58"/>
    <mergeCell ref="A28:B28"/>
    <mergeCell ref="A34:B34"/>
    <mergeCell ref="A35:B35"/>
    <mergeCell ref="A37:B37"/>
    <mergeCell ref="B2:C2"/>
    <mergeCell ref="A3:E3"/>
    <mergeCell ref="A4:C4"/>
    <mergeCell ref="A9:E10"/>
    <mergeCell ref="D6:E6"/>
    <mergeCell ref="A14:E15"/>
    <mergeCell ref="A24:B24"/>
    <mergeCell ref="A25:B25"/>
    <mergeCell ref="A26:B26"/>
    <mergeCell ref="A27:B27"/>
    <mergeCell ref="A38:B38"/>
    <mergeCell ref="A29:B29"/>
    <mergeCell ref="A30:B30"/>
    <mergeCell ref="A31:B31"/>
    <mergeCell ref="A32:B32"/>
    <mergeCell ref="A33:B33"/>
  </mergeCells>
  <printOptions horizontalCentered="1"/>
  <pageMargins left="0.39370078740157483" right="0.19685039370078741" top="0.19685039370078741" bottom="0.39370078740157483" header="0" footer="0"/>
  <pageSetup paperSize="9" scale="55" orientation="portrait" r:id="rId1"/>
  <headerFooter alignWithMargins="0"/>
  <rowBreaks count="1" manualBreakCount="1">
    <brk id="89" max="13" man="1"/>
  </rowBreaks>
  <ignoredErrors>
    <ignoredError sqref="D24:D34" formula="1"/>
  </ignoredErrors>
  <drawing r:id="rId2"/>
  <legacyDrawing r:id="rId3"/>
  <controls>
    <mc:AlternateContent xmlns:mc="http://schemas.openxmlformats.org/markup-compatibility/2006">
      <mc:Choice Requires="x14">
        <control shapeId="1173" r:id="rId4" name="CheckBox1">
          <controlPr defaultSize="0" autoLine="0" linkedCell="E22" r:id="rId5">
            <anchor moveWithCells="1">
              <from>
                <xdr:col>3</xdr:col>
                <xdr:colOff>1379220</xdr:colOff>
                <xdr:row>21</xdr:row>
                <xdr:rowOff>7620</xdr:rowOff>
              </from>
              <to>
                <xdr:col>5</xdr:col>
                <xdr:colOff>99060</xdr:colOff>
                <xdr:row>21</xdr:row>
                <xdr:rowOff>190500</xdr:rowOff>
              </to>
            </anchor>
          </controlPr>
        </control>
      </mc:Choice>
      <mc:Fallback>
        <control shapeId="1173" r:id="rId4" name="CheckBox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EA9E2-3C03-47F3-B1F3-DF906EA431E1}">
  <dimension ref="B3:J23"/>
  <sheetViews>
    <sheetView showGridLines="0" topLeftCell="A2" workbookViewId="0">
      <selection activeCell="K21" sqref="K21"/>
    </sheetView>
  </sheetViews>
  <sheetFormatPr baseColWidth="10" defaultRowHeight="13.2"/>
  <cols>
    <col min="1" max="1" width="7.109375" style="434" customWidth="1"/>
    <col min="2" max="6" width="11.5546875" style="434"/>
    <col min="7" max="7" width="14.33203125" style="434" customWidth="1"/>
    <col min="8" max="16384" width="11.5546875" style="434"/>
  </cols>
  <sheetData>
    <row r="3" spans="2:10">
      <c r="B3" s="433" t="s">
        <v>1367</v>
      </c>
    </row>
    <row r="6" spans="2:10" ht="26.4">
      <c r="B6" s="435"/>
      <c r="C6" s="436"/>
      <c r="D6" s="436"/>
      <c r="E6" s="436"/>
      <c r="F6" s="436"/>
      <c r="G6" s="436"/>
      <c r="H6" s="437" t="s">
        <v>1385</v>
      </c>
      <c r="I6" s="437" t="s">
        <v>1386</v>
      </c>
      <c r="J6" s="437" t="s">
        <v>1412</v>
      </c>
    </row>
    <row r="7" spans="2:10" ht="24.6" customHeight="1">
      <c r="B7" s="438" t="s">
        <v>1368</v>
      </c>
      <c r="C7" s="439"/>
      <c r="D7" s="439"/>
      <c r="E7" s="439"/>
      <c r="F7" s="439"/>
      <c r="G7" s="439"/>
      <c r="H7" s="449">
        <f>+'AG15.1.2'!E86</f>
        <v>15396.130000000026</v>
      </c>
      <c r="I7" s="449">
        <f>+'AG15.1.2'!H86</f>
        <v>104644.27000000018</v>
      </c>
      <c r="J7" s="449">
        <f>+'AG15.1.2'!J86</f>
        <v>24076.990000000093</v>
      </c>
    </row>
    <row r="8" spans="2:10" s="440" customFormat="1" ht="21.6" customHeight="1">
      <c r="B8" s="438" t="s">
        <v>1369</v>
      </c>
      <c r="C8" s="439"/>
      <c r="D8" s="439"/>
      <c r="E8" s="439"/>
      <c r="F8" s="439"/>
      <c r="G8" s="439"/>
      <c r="H8" s="449">
        <v>0</v>
      </c>
      <c r="I8" s="450">
        <v>0</v>
      </c>
      <c r="J8" s="450">
        <v>0</v>
      </c>
    </row>
    <row r="9" spans="2:10">
      <c r="B9" s="441" t="s">
        <v>1370</v>
      </c>
      <c r="C9" s="436"/>
      <c r="D9" s="436"/>
      <c r="E9" s="436"/>
      <c r="F9" s="436"/>
      <c r="G9" s="436"/>
      <c r="H9" s="451">
        <v>0</v>
      </c>
      <c r="I9" s="451">
        <v>0</v>
      </c>
      <c r="J9" s="451">
        <v>0</v>
      </c>
    </row>
    <row r="10" spans="2:10">
      <c r="B10" s="442" t="s">
        <v>1372</v>
      </c>
      <c r="C10" s="443"/>
      <c r="D10" s="443"/>
      <c r="E10" s="443"/>
      <c r="F10" s="443"/>
      <c r="G10" s="443"/>
      <c r="H10" s="451">
        <v>0</v>
      </c>
      <c r="I10" s="451">
        <v>0</v>
      </c>
      <c r="J10" s="451">
        <v>0</v>
      </c>
    </row>
    <row r="11" spans="2:10">
      <c r="B11" s="444" t="s">
        <v>1373</v>
      </c>
      <c r="C11" s="445"/>
      <c r="D11" s="445"/>
      <c r="E11" s="445"/>
      <c r="F11" s="445"/>
      <c r="G11" s="445"/>
      <c r="H11" s="451">
        <v>0</v>
      </c>
      <c r="I11" s="451">
        <v>0</v>
      </c>
      <c r="J11" s="451">
        <v>0</v>
      </c>
    </row>
    <row r="12" spans="2:10">
      <c r="B12" s="441" t="s">
        <v>1374</v>
      </c>
      <c r="C12" s="436"/>
      <c r="D12" s="436"/>
      <c r="E12" s="436"/>
      <c r="F12" s="436"/>
      <c r="G12" s="436"/>
      <c r="H12" s="451">
        <v>0</v>
      </c>
      <c r="I12" s="451">
        <v>0</v>
      </c>
      <c r="J12" s="451">
        <v>0</v>
      </c>
    </row>
    <row r="13" spans="2:10">
      <c r="B13" s="442" t="s">
        <v>1371</v>
      </c>
      <c r="C13" s="443"/>
      <c r="D13" s="443"/>
      <c r="E13" s="443"/>
      <c r="F13" s="443"/>
      <c r="G13" s="443"/>
      <c r="H13" s="451">
        <v>0</v>
      </c>
      <c r="I13" s="451">
        <v>3376.67</v>
      </c>
      <c r="J13" s="451">
        <v>0</v>
      </c>
    </row>
    <row r="14" spans="2:10">
      <c r="B14" s="446" t="s">
        <v>1378</v>
      </c>
      <c r="C14" s="445"/>
      <c r="D14" s="445"/>
      <c r="E14" s="445"/>
      <c r="F14" s="445"/>
      <c r="G14" s="445"/>
      <c r="H14" s="587">
        <f>SUM(H9:H13)</f>
        <v>0</v>
      </c>
      <c r="I14" s="587">
        <f>SUM(I9:I13)</f>
        <v>3376.67</v>
      </c>
      <c r="J14" s="587">
        <f>SUM(J9:J13)</f>
        <v>0</v>
      </c>
    </row>
    <row r="15" spans="2:10">
      <c r="B15" s="447" t="s">
        <v>1379</v>
      </c>
      <c r="C15" s="443"/>
      <c r="D15" s="443"/>
      <c r="E15" s="443"/>
      <c r="F15" s="443"/>
      <c r="G15" s="443"/>
      <c r="H15" s="588"/>
      <c r="I15" s="588"/>
      <c r="J15" s="588"/>
    </row>
    <row r="16" spans="2:10" s="440" customFormat="1" ht="21" customHeight="1">
      <c r="B16" s="438" t="s">
        <v>1375</v>
      </c>
      <c r="C16" s="439"/>
      <c r="D16" s="439"/>
      <c r="E16" s="439"/>
      <c r="F16" s="439"/>
      <c r="G16" s="439"/>
      <c r="H16" s="449">
        <v>0</v>
      </c>
      <c r="I16" s="450">
        <v>0</v>
      </c>
      <c r="J16" s="450">
        <v>0</v>
      </c>
    </row>
    <row r="17" spans="2:10">
      <c r="B17" s="444" t="s">
        <v>1380</v>
      </c>
      <c r="C17" s="445"/>
      <c r="D17" s="445"/>
      <c r="E17" s="445"/>
      <c r="F17" s="445"/>
      <c r="G17" s="445"/>
      <c r="H17" s="454">
        <v>0</v>
      </c>
      <c r="I17" s="454">
        <v>0</v>
      </c>
      <c r="J17" s="454">
        <v>0</v>
      </c>
    </row>
    <row r="18" spans="2:10">
      <c r="B18" s="441" t="s">
        <v>1381</v>
      </c>
      <c r="C18" s="436"/>
      <c r="D18" s="436"/>
      <c r="E18" s="436"/>
      <c r="F18" s="436"/>
      <c r="G18" s="436"/>
      <c r="H18" s="451">
        <v>0</v>
      </c>
      <c r="I18" s="451">
        <v>0</v>
      </c>
      <c r="J18" s="451">
        <v>0</v>
      </c>
    </row>
    <row r="19" spans="2:10">
      <c r="B19" s="442" t="s">
        <v>1382</v>
      </c>
      <c r="C19" s="443"/>
      <c r="D19" s="443"/>
      <c r="E19" s="443"/>
      <c r="F19" s="443"/>
      <c r="G19" s="443"/>
      <c r="H19" s="452">
        <v>-2203.52</v>
      </c>
      <c r="I19" s="453">
        <v>-3950.63</v>
      </c>
      <c r="J19" s="453">
        <v>10581.38</v>
      </c>
    </row>
    <row r="20" spans="2:10">
      <c r="B20" s="442" t="s">
        <v>1383</v>
      </c>
      <c r="C20" s="443"/>
      <c r="D20" s="443"/>
      <c r="E20" s="443"/>
      <c r="F20" s="443"/>
      <c r="G20" s="443"/>
      <c r="H20" s="452">
        <v>220.35</v>
      </c>
      <c r="I20" s="453">
        <v>395.06</v>
      </c>
      <c r="J20" s="453">
        <v>-2116.27</v>
      </c>
    </row>
    <row r="21" spans="2:10">
      <c r="B21" s="446" t="s">
        <v>1376</v>
      </c>
      <c r="C21" s="445"/>
      <c r="D21" s="445"/>
      <c r="E21" s="445"/>
      <c r="F21" s="445"/>
      <c r="G21" s="445"/>
      <c r="H21" s="587">
        <f>SUM(H17:H20)</f>
        <v>-1983.17</v>
      </c>
      <c r="I21" s="587">
        <v>-3555.56</v>
      </c>
      <c r="J21" s="587">
        <v>8465.11</v>
      </c>
    </row>
    <row r="22" spans="2:10">
      <c r="B22" s="447" t="s">
        <v>1377</v>
      </c>
      <c r="C22" s="443"/>
      <c r="D22" s="443"/>
      <c r="E22" s="443"/>
      <c r="F22" s="443"/>
      <c r="G22" s="443"/>
      <c r="H22" s="588"/>
      <c r="I22" s="588"/>
      <c r="J22" s="588"/>
    </row>
    <row r="23" spans="2:10">
      <c r="B23" s="448" t="s">
        <v>1384</v>
      </c>
      <c r="C23" s="436"/>
      <c r="D23" s="436"/>
      <c r="E23" s="436"/>
      <c r="F23" s="436"/>
      <c r="G23" s="436"/>
      <c r="H23" s="451">
        <f>+H7+H14+H21</f>
        <v>13412.960000000026</v>
      </c>
      <c r="I23" s="451">
        <f>+I7+I14+I21</f>
        <v>104465.38000000018</v>
      </c>
      <c r="J23" s="451">
        <f>+J7+J14+J21</f>
        <v>32542.100000000093</v>
      </c>
    </row>
  </sheetData>
  <mergeCells count="6">
    <mergeCell ref="H14:H15"/>
    <mergeCell ref="I14:I15"/>
    <mergeCell ref="H21:H22"/>
    <mergeCell ref="I21:I22"/>
    <mergeCell ref="J14:J15"/>
    <mergeCell ref="J21:J22"/>
  </mergeCells>
  <phoneticPr fontId="76" type="noConversion"/>
  <pageMargins left="0.7" right="0.7" top="0.75" bottom="0.75" header="0.3" footer="0.3"/>
  <pageSetup paperSize="9" orientation="portrait" r:id="rId1"/>
  <ignoredErrors>
    <ignoredError sqref="H14:I22 J14"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3E819-B5E6-4386-85B2-5180107D4C64}">
  <dimension ref="B3:H28"/>
  <sheetViews>
    <sheetView showGridLines="0" topLeftCell="A7" workbookViewId="0">
      <selection activeCell="C31" sqref="C31"/>
    </sheetView>
  </sheetViews>
  <sheetFormatPr baseColWidth="10" defaultRowHeight="13.2"/>
  <cols>
    <col min="1" max="1" width="7.109375" style="434" customWidth="1"/>
    <col min="2" max="2" width="68.21875" style="434" customWidth="1"/>
    <col min="3" max="3" width="11.6640625" style="434" bestFit="1" customWidth="1"/>
    <col min="4" max="4" width="12.77734375" style="434" bestFit="1" customWidth="1"/>
    <col min="5" max="5" width="12.44140625" style="434" bestFit="1" customWidth="1"/>
    <col min="6" max="6" width="11.6640625" style="434" bestFit="1" customWidth="1"/>
    <col min="7" max="7" width="14.33203125" style="434" customWidth="1"/>
    <col min="8" max="8" width="12.77734375" style="434" bestFit="1" customWidth="1"/>
    <col min="9" max="16384" width="11.5546875" style="434"/>
  </cols>
  <sheetData>
    <row r="3" spans="2:8">
      <c r="B3" s="433" t="s">
        <v>1387</v>
      </c>
    </row>
    <row r="7" spans="2:8" ht="52.8">
      <c r="B7" s="455"/>
      <c r="C7" s="455" t="s">
        <v>1388</v>
      </c>
      <c r="D7" s="456" t="s">
        <v>1389</v>
      </c>
      <c r="E7" s="456" t="s">
        <v>1390</v>
      </c>
      <c r="F7" s="456" t="s">
        <v>1391</v>
      </c>
      <c r="G7" s="456" t="s">
        <v>1392</v>
      </c>
      <c r="H7" s="456" t="s">
        <v>1393</v>
      </c>
    </row>
    <row r="8" spans="2:8">
      <c r="B8" s="467" t="s">
        <v>1396</v>
      </c>
      <c r="C8" s="457">
        <v>90186.73</v>
      </c>
      <c r="D8" s="457">
        <v>1685423.98</v>
      </c>
      <c r="E8" s="457">
        <v>42079.86</v>
      </c>
      <c r="F8" s="457">
        <v>0</v>
      </c>
      <c r="G8" s="457">
        <v>29447.23</v>
      </c>
      <c r="H8" s="457">
        <f>+SUM(C8:G8)</f>
        <v>1847137.8</v>
      </c>
    </row>
    <row r="9" spans="2:8">
      <c r="B9" s="469" t="s">
        <v>1394</v>
      </c>
      <c r="C9" s="458">
        <v>0</v>
      </c>
      <c r="D9" s="458">
        <v>0</v>
      </c>
      <c r="E9" s="458">
        <v>0</v>
      </c>
      <c r="F9" s="458">
        <v>0</v>
      </c>
      <c r="G9" s="458">
        <v>0</v>
      </c>
      <c r="H9" s="459">
        <v>0</v>
      </c>
    </row>
    <row r="10" spans="2:8">
      <c r="B10" s="469" t="s">
        <v>1395</v>
      </c>
      <c r="C10" s="458">
        <v>0</v>
      </c>
      <c r="D10" s="458">
        <v>0</v>
      </c>
      <c r="E10" s="458">
        <v>0</v>
      </c>
      <c r="F10" s="458">
        <v>0</v>
      </c>
      <c r="G10" s="458">
        <v>0</v>
      </c>
      <c r="H10" s="459">
        <v>0</v>
      </c>
    </row>
    <row r="11" spans="2:8">
      <c r="B11" s="467" t="s">
        <v>1397</v>
      </c>
      <c r="C11" s="457">
        <f>+SUM(C8:C10)</f>
        <v>90186.73</v>
      </c>
      <c r="D11" s="457">
        <f t="shared" ref="D11:H11" si="0">+SUM(D8:D10)</f>
        <v>1685423.98</v>
      </c>
      <c r="E11" s="457">
        <f t="shared" si="0"/>
        <v>42079.86</v>
      </c>
      <c r="F11" s="457">
        <f t="shared" si="0"/>
        <v>0</v>
      </c>
      <c r="G11" s="457">
        <f t="shared" si="0"/>
        <v>29447.23</v>
      </c>
      <c r="H11" s="457">
        <f t="shared" si="0"/>
        <v>1847137.8</v>
      </c>
    </row>
    <row r="12" spans="2:8">
      <c r="B12" s="469" t="s">
        <v>1398</v>
      </c>
      <c r="C12" s="460"/>
      <c r="D12" s="461"/>
      <c r="E12" s="460">
        <v>24077.06</v>
      </c>
      <c r="F12" s="460">
        <v>0</v>
      </c>
      <c r="G12" s="462">
        <v>-8465.11</v>
      </c>
      <c r="H12" s="463">
        <f t="shared" ref="H12:H17" si="1">+SUM(C12:G12)</f>
        <v>15611.95</v>
      </c>
    </row>
    <row r="13" spans="2:8">
      <c r="B13" s="469" t="s">
        <v>1399</v>
      </c>
      <c r="C13" s="460">
        <f>SUM(C14:C16)</f>
        <v>-1766.37</v>
      </c>
      <c r="D13" s="460">
        <f t="shared" ref="D13:G13" si="2">SUM(D14:D16)</f>
        <v>0</v>
      </c>
      <c r="E13" s="460">
        <f t="shared" si="2"/>
        <v>0</v>
      </c>
      <c r="F13" s="460">
        <f t="shared" si="2"/>
        <v>0</v>
      </c>
      <c r="G13" s="460">
        <f t="shared" si="2"/>
        <v>0</v>
      </c>
      <c r="H13" s="463">
        <f>+SUM(C13:G13)</f>
        <v>-1766.37</v>
      </c>
    </row>
    <row r="14" spans="2:8">
      <c r="B14" s="468" t="s">
        <v>1400</v>
      </c>
      <c r="C14" s="464"/>
      <c r="D14" s="465"/>
      <c r="E14" s="464"/>
      <c r="F14" s="464"/>
      <c r="G14" s="464"/>
      <c r="H14" s="463">
        <f t="shared" si="1"/>
        <v>0</v>
      </c>
    </row>
    <row r="15" spans="2:8">
      <c r="B15" s="468" t="s">
        <v>1401</v>
      </c>
      <c r="C15" s="464">
        <v>-1766.37</v>
      </c>
      <c r="D15" s="465"/>
      <c r="E15" s="464"/>
      <c r="F15" s="464"/>
      <c r="G15" s="464"/>
      <c r="H15" s="463">
        <f t="shared" si="1"/>
        <v>-1766.37</v>
      </c>
    </row>
    <row r="16" spans="2:8">
      <c r="B16" s="469" t="s">
        <v>1402</v>
      </c>
      <c r="C16" s="464"/>
      <c r="D16" s="465"/>
      <c r="E16" s="464"/>
      <c r="F16" s="464"/>
      <c r="G16" s="464"/>
      <c r="H16" s="463">
        <f t="shared" si="1"/>
        <v>0</v>
      </c>
    </row>
    <row r="17" spans="2:8">
      <c r="B17" s="469" t="s">
        <v>1403</v>
      </c>
      <c r="C17" s="460"/>
      <c r="D17" s="460">
        <v>42079.86</v>
      </c>
      <c r="E17" s="460">
        <f>-D17</f>
        <v>-42079.86</v>
      </c>
      <c r="F17" s="460"/>
      <c r="G17" s="460"/>
      <c r="H17" s="463">
        <f t="shared" si="1"/>
        <v>0</v>
      </c>
    </row>
    <row r="18" spans="2:8">
      <c r="B18" s="467" t="s">
        <v>1404</v>
      </c>
      <c r="C18" s="457">
        <f>+SUM(C17,C11:C13)</f>
        <v>88420.36</v>
      </c>
      <c r="D18" s="457">
        <f>+SUM(D17,D11:D13)</f>
        <v>1727503.84</v>
      </c>
      <c r="E18" s="457">
        <f>+SUM(E17,E11:E13)</f>
        <v>24077.06</v>
      </c>
      <c r="F18" s="457">
        <f>+SUM(F17,F11:F13)</f>
        <v>0</v>
      </c>
      <c r="G18" s="457">
        <f>+SUM(G17,G11:G13)</f>
        <v>20982.12</v>
      </c>
      <c r="H18" s="457">
        <f>SUM(H11:H13,H17)</f>
        <v>1860983.38</v>
      </c>
    </row>
    <row r="19" spans="2:8">
      <c r="B19" s="469" t="s">
        <v>1405</v>
      </c>
      <c r="C19" s="458">
        <v>0</v>
      </c>
      <c r="D19" s="458">
        <v>0</v>
      </c>
      <c r="E19" s="458">
        <v>0</v>
      </c>
      <c r="F19" s="458">
        <v>0</v>
      </c>
      <c r="G19" s="458">
        <v>0</v>
      </c>
      <c r="H19" s="459">
        <f>+SUM(C19:G19)</f>
        <v>0</v>
      </c>
    </row>
    <row r="20" spans="2:8">
      <c r="B20" s="469" t="s">
        <v>1406</v>
      </c>
      <c r="C20" s="458">
        <v>0</v>
      </c>
      <c r="D20" s="458">
        <v>0</v>
      </c>
      <c r="E20" s="458">
        <v>0</v>
      </c>
      <c r="F20" s="458">
        <v>0</v>
      </c>
      <c r="G20" s="458">
        <v>0</v>
      </c>
      <c r="H20" s="459">
        <f>+SUM(C20:G20)</f>
        <v>0</v>
      </c>
    </row>
    <row r="21" spans="2:8">
      <c r="B21" s="467" t="s">
        <v>1407</v>
      </c>
      <c r="C21" s="457">
        <f t="shared" ref="C21:H21" si="3">SUM(C18:C20)</f>
        <v>88420.36</v>
      </c>
      <c r="D21" s="457">
        <f t="shared" si="3"/>
        <v>1727503.84</v>
      </c>
      <c r="E21" s="457">
        <f t="shared" si="3"/>
        <v>24077.06</v>
      </c>
      <c r="F21" s="457">
        <f t="shared" si="3"/>
        <v>0</v>
      </c>
      <c r="G21" s="457">
        <f t="shared" si="3"/>
        <v>20982.12</v>
      </c>
      <c r="H21" s="457">
        <f t="shared" si="3"/>
        <v>1860983.38</v>
      </c>
    </row>
    <row r="22" spans="2:8">
      <c r="B22" s="469" t="s">
        <v>1398</v>
      </c>
      <c r="C22" s="460"/>
      <c r="D22" s="461"/>
      <c r="E22" s="460">
        <v>104644.28</v>
      </c>
      <c r="F22" s="460">
        <v>0</v>
      </c>
      <c r="G22" s="462">
        <v>-178.89</v>
      </c>
      <c r="H22" s="459">
        <f t="shared" ref="H22:H27" si="4">+SUM(C22:G22)</f>
        <v>104465.39</v>
      </c>
    </row>
    <row r="23" spans="2:8">
      <c r="B23" s="469" t="s">
        <v>1399</v>
      </c>
      <c r="C23" s="460">
        <f>SUM(C24:C26)</f>
        <v>-610.67000000000007</v>
      </c>
      <c r="D23" s="460">
        <f t="shared" ref="D23:G23" si="5">SUM(D24:D26)</f>
        <v>859.7</v>
      </c>
      <c r="E23" s="460">
        <f t="shared" si="5"/>
        <v>0</v>
      </c>
      <c r="F23" s="460">
        <f t="shared" si="5"/>
        <v>0</v>
      </c>
      <c r="G23" s="460">
        <f t="shared" si="5"/>
        <v>0</v>
      </c>
      <c r="H23" s="459">
        <f t="shared" si="4"/>
        <v>249.02999999999997</v>
      </c>
    </row>
    <row r="24" spans="2:8">
      <c r="B24" s="468" t="s">
        <v>1400</v>
      </c>
      <c r="C24" s="464">
        <f>429.64-429.85</f>
        <v>-0.21000000000003638</v>
      </c>
      <c r="D24" s="465">
        <v>859.7</v>
      </c>
      <c r="E24" s="464"/>
      <c r="F24" s="464"/>
      <c r="G24" s="464"/>
      <c r="H24" s="459">
        <f t="shared" si="4"/>
        <v>859.49</v>
      </c>
    </row>
    <row r="25" spans="2:8">
      <c r="B25" s="468" t="s">
        <v>1401</v>
      </c>
      <c r="C25" s="464">
        <v>-610.46</v>
      </c>
      <c r="D25" s="465"/>
      <c r="E25" s="464"/>
      <c r="F25" s="464"/>
      <c r="G25" s="464"/>
      <c r="H25" s="459">
        <f t="shared" si="4"/>
        <v>-610.46</v>
      </c>
    </row>
    <row r="26" spans="2:8">
      <c r="B26" s="469" t="s">
        <v>1402</v>
      </c>
      <c r="C26" s="464"/>
      <c r="D26" s="465"/>
      <c r="E26" s="464"/>
      <c r="F26" s="464"/>
      <c r="G26" s="464"/>
      <c r="H26" s="459">
        <f t="shared" si="4"/>
        <v>0</v>
      </c>
    </row>
    <row r="27" spans="2:8">
      <c r="B27" s="469" t="s">
        <v>1403</v>
      </c>
      <c r="C27" s="464">
        <v>-8823.9500000000007</v>
      </c>
      <c r="D27" s="466"/>
      <c r="E27" s="464">
        <v>42.99</v>
      </c>
      <c r="F27" s="464">
        <v>24077.06</v>
      </c>
      <c r="G27" s="464">
        <v>-24077.06</v>
      </c>
      <c r="H27" s="459">
        <f t="shared" si="4"/>
        <v>-8780.9600000000009</v>
      </c>
    </row>
    <row r="28" spans="2:8">
      <c r="B28" s="467" t="s">
        <v>1408</v>
      </c>
      <c r="C28" s="457">
        <f>+SUM(C27,C21:C23)</f>
        <v>78985.740000000005</v>
      </c>
      <c r="D28" s="457">
        <f t="shared" ref="D28:G28" si="6">+SUM(D27,D21:D23)</f>
        <v>1728363.54</v>
      </c>
      <c r="E28" s="457">
        <f t="shared" si="6"/>
        <v>128764.33</v>
      </c>
      <c r="F28" s="457">
        <f t="shared" si="6"/>
        <v>24077.06</v>
      </c>
      <c r="G28" s="457">
        <f t="shared" si="6"/>
        <v>-3273.8300000000022</v>
      </c>
      <c r="H28" s="457">
        <f>+ROUND(SUM(C28:G28),2)</f>
        <v>1956916.84</v>
      </c>
    </row>
  </sheetData>
  <pageMargins left="0.7" right="0.7" top="0.75" bottom="0.75" header="0.3" footer="0.3"/>
  <ignoredErrors>
    <ignoredError sqref="H18" formula="1"/>
    <ignoredError sqref="D13 E23:G2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E</vt:lpstr>
      <vt:lpstr>S</vt:lpstr>
      <vt:lpstr>D</vt:lpstr>
      <vt:lpstr>AG15.1</vt:lpstr>
      <vt:lpstr>AG15.1.1</vt:lpstr>
      <vt:lpstr>AG15.1.2</vt:lpstr>
      <vt:lpstr>AG15.1.3</vt:lpstr>
      <vt:lpstr>AG15.1.4</vt:lpstr>
      <vt:lpstr>AG15.1.5</vt:lpstr>
      <vt:lpstr>AG15.1.1!Área_de_impresión</vt:lpstr>
      <vt:lpstr>AG15.1.2!Área_de_impresión</vt:lpstr>
      <vt:lpstr>AG15.1.3!Área_de_impresión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Gramaudit</dc:creator>
  <cp:lastModifiedBy>Vanessa Gil</cp:lastModifiedBy>
  <cp:lastPrinted>2015-11-17T10:53:47Z</cp:lastPrinted>
  <dcterms:created xsi:type="dcterms:W3CDTF">2013-02-27T09:52:49Z</dcterms:created>
  <dcterms:modified xsi:type="dcterms:W3CDTF">2020-11-25T19:23:15Z</dcterms:modified>
</cp:coreProperties>
</file>