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25" yWindow="-45" windowWidth="16680" windowHeight="10200" tabRatio="916" firstSheet="9" activeTab="10"/>
  </bookViews>
  <sheets>
    <sheet name="Datos iniciales" sheetId="13" r:id="rId1"/>
    <sheet name="1 Inversión" sheetId="2" r:id="rId2"/>
    <sheet name="2 Financiación" sheetId="4" r:id="rId3"/>
    <sheet name="3 Previsión Ingresos-Gastos" sheetId="3" r:id="rId4"/>
    <sheet name="4 Periodo Cobro-Pago" sheetId="6" r:id="rId5"/>
    <sheet name="5 Distribución Resultado" sheetId="12" r:id="rId6"/>
    <sheet name="6 Liquidación IVA" sheetId="18" r:id="rId7"/>
    <sheet name="A Tesorería" sheetId="7" r:id="rId8"/>
    <sheet name="B Pérdidas y Ganancias" sheetId="11" r:id="rId9"/>
    <sheet name="C Balance" sheetId="10" r:id="rId10"/>
    <sheet name="D Ratios" sheetId="19" r:id="rId11"/>
    <sheet name="Cálculo préstamo Año 1" sheetId="5" r:id="rId12"/>
    <sheet name="Cálculo préstamo Año 2" sheetId="14" r:id="rId13"/>
    <sheet name="Cálculo préstamo Año 3" sheetId="15" r:id="rId14"/>
    <sheet name="Cuadro Amortización" sheetId="16" r:id="rId15"/>
    <sheet name="Liquidación Impuesto Beneficios" sheetId="17" r:id="rId16"/>
  </sheets>
  <externalReferences>
    <externalReference r:id="rId17"/>
    <externalReference r:id="rId18"/>
  </externalReferences>
  <definedNames>
    <definedName name="_1Àrea_d_impressió" localSheetId="7">'A Tesorería'!$A$1:$AD$116</definedName>
    <definedName name="_2Àrea_d_impressió" localSheetId="10">'D Ratios'!$A$1:$N$78</definedName>
    <definedName name="Amortizacion_inmovilizado_X1" localSheetId="10">[1]PyG!$B$30</definedName>
    <definedName name="Amortizacion_inmovilizado_X1">[2]PyG!$B$30</definedName>
    <definedName name="Coste_dinero_X1" localSheetId="10">[1]Datos!#REF!</definedName>
    <definedName name="Coste_dinero_X1">[2]Datos!#REF!</definedName>
    <definedName name="Coste_dinero_X2" localSheetId="10">[1]Datos!#REF!</definedName>
    <definedName name="Coste_dinero_X2">[2]Datos!#REF!</definedName>
    <definedName name="Coste_dinero_X3" localSheetId="10">[1]Datos!#REF!</definedName>
    <definedName name="Coste_dinero_X3">[2]Datos!#REF!</definedName>
    <definedName name="Coste_dinero_X4" localSheetId="10">[1]Datos!#REF!</definedName>
    <definedName name="Coste_dinero_X4">[2]Datos!#REF!</definedName>
    <definedName name="Coste_dinero_X5" localSheetId="10">[1]Datos!#REF!</definedName>
    <definedName name="Coste_dinero_X5">[2]Datos!#REF!</definedName>
    <definedName name="Efectivo_X2" localSheetId="10">[1]ACTIVO!$D$65</definedName>
    <definedName name="Efectivo_X2">[2]ACTIVO!$D$65</definedName>
    <definedName name="Gastos_financieros_X1" localSheetId="10">[1]PyG!$B$44</definedName>
    <definedName name="Gastos_financieros_X1">[2]PyG!$B$44</definedName>
    <definedName name="OLE_LINK1" localSheetId="5">'5 Distribución Resultado'!$G$9</definedName>
    <definedName name="Resultado_ejercicio_pyg_X1" localSheetId="10">[1]PyG!$B$60</definedName>
    <definedName name="Resultado_ejercicio_pyg_X1">[2]PyG!$B$60</definedName>
    <definedName name="_xlnm.Print_Titles" localSheetId="7">'A Tesorería'!$1:$7</definedName>
    <definedName name="_xlnm.Print_Titles" localSheetId="9">'C Balance'!$1:$4</definedName>
    <definedName name="_xlnm.Print_Titles" localSheetId="10">'D Ratios'!$1:$6</definedName>
  </definedNames>
  <calcPr calcId="125725"/>
</workbook>
</file>

<file path=xl/calcChain.xml><?xml version="1.0" encoding="utf-8"?>
<calcChain xmlns="http://schemas.openxmlformats.org/spreadsheetml/2006/main">
  <c r="B5" i="12"/>
  <c r="U22" i="3"/>
  <c r="E24" i="18"/>
  <c r="G26"/>
  <c r="K26" s="1"/>
  <c r="L26" s="1"/>
  <c r="Q38" i="3"/>
  <c r="Q36"/>
  <c r="Q34"/>
  <c r="Q18"/>
  <c r="Q16"/>
  <c r="Q14"/>
  <c r="F12" i="16"/>
  <c r="T96" i="7"/>
  <c r="T91" s="1"/>
  <c r="S96"/>
  <c r="R96"/>
  <c r="Q96"/>
  <c r="P96"/>
  <c r="P91" s="1"/>
  <c r="O96"/>
  <c r="N96"/>
  <c r="M96"/>
  <c r="L96"/>
  <c r="L91" s="1"/>
  <c r="K96"/>
  <c r="J96"/>
  <c r="S95"/>
  <c r="R95"/>
  <c r="W95" s="1"/>
  <c r="Q95"/>
  <c r="P95"/>
  <c r="O95"/>
  <c r="N95"/>
  <c r="N91" s="1"/>
  <c r="M95"/>
  <c r="L95"/>
  <c r="K95"/>
  <c r="H95"/>
  <c r="H91" s="1"/>
  <c r="I95"/>
  <c r="J95"/>
  <c r="R94"/>
  <c r="Q94"/>
  <c r="P94"/>
  <c r="O94"/>
  <c r="N94"/>
  <c r="M94"/>
  <c r="V94" s="1"/>
  <c r="L94"/>
  <c r="K94"/>
  <c r="J94"/>
  <c r="J92"/>
  <c r="J93"/>
  <c r="I94"/>
  <c r="H94"/>
  <c r="Q93"/>
  <c r="W93" s="1"/>
  <c r="P93"/>
  <c r="O93"/>
  <c r="N93"/>
  <c r="M93"/>
  <c r="M91" s="1"/>
  <c r="L93"/>
  <c r="K93"/>
  <c r="I93"/>
  <c r="F93"/>
  <c r="F91" s="1"/>
  <c r="G93"/>
  <c r="H93"/>
  <c r="P92"/>
  <c r="O92"/>
  <c r="O91" s="1"/>
  <c r="N92"/>
  <c r="M92"/>
  <c r="L92"/>
  <c r="K92"/>
  <c r="I92"/>
  <c r="H92"/>
  <c r="G92"/>
  <c r="E92"/>
  <c r="E91" s="1"/>
  <c r="F92"/>
  <c r="I96"/>
  <c r="G94"/>
  <c r="P89"/>
  <c r="O89"/>
  <c r="N89"/>
  <c r="M89"/>
  <c r="L89"/>
  <c r="K89"/>
  <c r="J89"/>
  <c r="I89"/>
  <c r="H89"/>
  <c r="V89" s="1"/>
  <c r="G89"/>
  <c r="E89"/>
  <c r="F89"/>
  <c r="E83"/>
  <c r="T87"/>
  <c r="S87"/>
  <c r="R87"/>
  <c r="Q87"/>
  <c r="W87" s="1"/>
  <c r="W82" s="1"/>
  <c r="P87"/>
  <c r="O87"/>
  <c r="N87"/>
  <c r="M87"/>
  <c r="L87"/>
  <c r="I87"/>
  <c r="V87" s="1"/>
  <c r="J87"/>
  <c r="K87"/>
  <c r="S86"/>
  <c r="R86"/>
  <c r="Q86"/>
  <c r="W86" s="1"/>
  <c r="P86"/>
  <c r="O86"/>
  <c r="N86"/>
  <c r="M86"/>
  <c r="L86"/>
  <c r="K86"/>
  <c r="J86"/>
  <c r="I86"/>
  <c r="R85"/>
  <c r="Q85"/>
  <c r="P85"/>
  <c r="O85"/>
  <c r="N85"/>
  <c r="M85"/>
  <c r="L85"/>
  <c r="K85"/>
  <c r="J85"/>
  <c r="I85"/>
  <c r="H85"/>
  <c r="H82" s="1"/>
  <c r="G85"/>
  <c r="Q84"/>
  <c r="P84"/>
  <c r="O84"/>
  <c r="O82" s="1"/>
  <c r="N84"/>
  <c r="M84"/>
  <c r="L84"/>
  <c r="K84"/>
  <c r="K82" s="1"/>
  <c r="J84"/>
  <c r="I84"/>
  <c r="H84"/>
  <c r="G84"/>
  <c r="V84" s="1"/>
  <c r="P83"/>
  <c r="O83"/>
  <c r="N83"/>
  <c r="M83"/>
  <c r="M82" s="1"/>
  <c r="L83"/>
  <c r="K83"/>
  <c r="J83"/>
  <c r="I83"/>
  <c r="H83"/>
  <c r="G83"/>
  <c r="F83"/>
  <c r="H86"/>
  <c r="V86" s="1"/>
  <c r="F84"/>
  <c r="P80"/>
  <c r="O80"/>
  <c r="N80"/>
  <c r="M80"/>
  <c r="L80"/>
  <c r="K80"/>
  <c r="J80"/>
  <c r="I80"/>
  <c r="H80"/>
  <c r="G80"/>
  <c r="F80"/>
  <c r="V80" s="1"/>
  <c r="E80"/>
  <c r="T69"/>
  <c r="T64" s="1"/>
  <c r="T76"/>
  <c r="S76"/>
  <c r="S71" s="1"/>
  <c r="R76"/>
  <c r="Q76"/>
  <c r="P76"/>
  <c r="O76"/>
  <c r="N76"/>
  <c r="M76"/>
  <c r="I76"/>
  <c r="J76"/>
  <c r="K76"/>
  <c r="L76"/>
  <c r="S75"/>
  <c r="Q75"/>
  <c r="R75"/>
  <c r="P75"/>
  <c r="O75"/>
  <c r="N75"/>
  <c r="M75"/>
  <c r="L75"/>
  <c r="K75"/>
  <c r="H75"/>
  <c r="I75"/>
  <c r="J75"/>
  <c r="R74"/>
  <c r="Q74"/>
  <c r="Q71" s="1"/>
  <c r="P74"/>
  <c r="O74"/>
  <c r="N74"/>
  <c r="M74"/>
  <c r="L74"/>
  <c r="K74"/>
  <c r="J74"/>
  <c r="I74"/>
  <c r="V74" s="1"/>
  <c r="H74"/>
  <c r="Q73"/>
  <c r="P73"/>
  <c r="O73"/>
  <c r="O72"/>
  <c r="N73"/>
  <c r="M73"/>
  <c r="L73"/>
  <c r="L71" s="1"/>
  <c r="K73"/>
  <c r="K72"/>
  <c r="J73"/>
  <c r="I73"/>
  <c r="V73" s="1"/>
  <c r="H73"/>
  <c r="G73"/>
  <c r="P72"/>
  <c r="N72"/>
  <c r="N71" s="1"/>
  <c r="M72"/>
  <c r="L72"/>
  <c r="J72"/>
  <c r="I72"/>
  <c r="I71" s="1"/>
  <c r="E72"/>
  <c r="E71" s="1"/>
  <c r="F72"/>
  <c r="G72"/>
  <c r="H72"/>
  <c r="H71" s="1"/>
  <c r="S69"/>
  <c r="S68"/>
  <c r="S64" s="1"/>
  <c r="R69"/>
  <c r="W69" s="1"/>
  <c r="Q69"/>
  <c r="P69"/>
  <c r="O69"/>
  <c r="N69"/>
  <c r="M69"/>
  <c r="L69"/>
  <c r="K69"/>
  <c r="I69"/>
  <c r="J69"/>
  <c r="R68"/>
  <c r="Q68"/>
  <c r="P68"/>
  <c r="O68"/>
  <c r="N68"/>
  <c r="M68"/>
  <c r="L68"/>
  <c r="L64" s="1"/>
  <c r="K68"/>
  <c r="J68"/>
  <c r="I68"/>
  <c r="R67"/>
  <c r="W67" s="1"/>
  <c r="Q67"/>
  <c r="P67"/>
  <c r="O67"/>
  <c r="N67"/>
  <c r="N64" s="1"/>
  <c r="M67"/>
  <c r="L67"/>
  <c r="K67"/>
  <c r="J67"/>
  <c r="I67"/>
  <c r="H67"/>
  <c r="Q66"/>
  <c r="P66"/>
  <c r="O66"/>
  <c r="N66"/>
  <c r="M66"/>
  <c r="M65"/>
  <c r="L66"/>
  <c r="K66"/>
  <c r="J66"/>
  <c r="I66"/>
  <c r="I64" s="1"/>
  <c r="F66"/>
  <c r="G66"/>
  <c r="H66"/>
  <c r="P65"/>
  <c r="P64" s="1"/>
  <c r="O65"/>
  <c r="N65"/>
  <c r="L65"/>
  <c r="K65"/>
  <c r="K64" s="1"/>
  <c r="J65"/>
  <c r="I65"/>
  <c r="H65"/>
  <c r="G65"/>
  <c r="V65" s="1"/>
  <c r="F65"/>
  <c r="G74"/>
  <c r="F73"/>
  <c r="H68"/>
  <c r="G67"/>
  <c r="E65"/>
  <c r="E64" s="1"/>
  <c r="E58"/>
  <c r="T62"/>
  <c r="T57" s="1"/>
  <c r="S62"/>
  <c r="R62"/>
  <c r="Q62"/>
  <c r="P62"/>
  <c r="O62"/>
  <c r="N62"/>
  <c r="M62"/>
  <c r="L62"/>
  <c r="K62"/>
  <c r="J62"/>
  <c r="S61"/>
  <c r="R61"/>
  <c r="R57" s="1"/>
  <c r="Q61"/>
  <c r="P61"/>
  <c r="O61"/>
  <c r="N61"/>
  <c r="M61"/>
  <c r="L61"/>
  <c r="K61"/>
  <c r="J61"/>
  <c r="I61"/>
  <c r="R60"/>
  <c r="Q60"/>
  <c r="P60"/>
  <c r="O60"/>
  <c r="N60"/>
  <c r="M60"/>
  <c r="L60"/>
  <c r="K60"/>
  <c r="J60"/>
  <c r="I60"/>
  <c r="H60"/>
  <c r="H57" s="1"/>
  <c r="G60"/>
  <c r="Q59"/>
  <c r="P59"/>
  <c r="O59"/>
  <c r="N59"/>
  <c r="N58"/>
  <c r="M59"/>
  <c r="L59"/>
  <c r="K59"/>
  <c r="J59"/>
  <c r="J58"/>
  <c r="I59"/>
  <c r="V59" s="1"/>
  <c r="H59"/>
  <c r="G59"/>
  <c r="P58"/>
  <c r="O58"/>
  <c r="O57" s="1"/>
  <c r="M58"/>
  <c r="L58"/>
  <c r="K58"/>
  <c r="I58"/>
  <c r="I57" s="1"/>
  <c r="H58"/>
  <c r="G58"/>
  <c r="F58"/>
  <c r="I62"/>
  <c r="H61"/>
  <c r="F59"/>
  <c r="P55"/>
  <c r="O55"/>
  <c r="N55"/>
  <c r="M55"/>
  <c r="L55"/>
  <c r="K55"/>
  <c r="J55"/>
  <c r="I55"/>
  <c r="H55"/>
  <c r="G55"/>
  <c r="V55" s="1"/>
  <c r="F55"/>
  <c r="E55"/>
  <c r="E18"/>
  <c r="E17" s="1"/>
  <c r="AB22"/>
  <c r="AC22" s="1"/>
  <c r="AB21"/>
  <c r="AC21" s="1"/>
  <c r="AB20"/>
  <c r="AB19"/>
  <c r="AC19" s="1"/>
  <c r="AC20"/>
  <c r="AB18"/>
  <c r="Y22"/>
  <c r="Z22" s="1"/>
  <c r="Y21"/>
  <c r="Z21" s="1"/>
  <c r="Y20"/>
  <c r="Z20" s="1"/>
  <c r="Y19"/>
  <c r="Z19" s="1"/>
  <c r="Y18"/>
  <c r="T22"/>
  <c r="S22"/>
  <c r="W22" s="1"/>
  <c r="R22"/>
  <c r="Q22"/>
  <c r="P22"/>
  <c r="O22"/>
  <c r="N22"/>
  <c r="M22"/>
  <c r="L22"/>
  <c r="K22"/>
  <c r="V22" s="1"/>
  <c r="J22"/>
  <c r="I22"/>
  <c r="S21"/>
  <c r="R21"/>
  <c r="W21" s="1"/>
  <c r="W17" s="1"/>
  <c r="Q21"/>
  <c r="P21"/>
  <c r="O21"/>
  <c r="O18"/>
  <c r="O19"/>
  <c r="O20"/>
  <c r="N21"/>
  <c r="M21"/>
  <c r="L21"/>
  <c r="K21"/>
  <c r="J21"/>
  <c r="I21"/>
  <c r="I17" s="1"/>
  <c r="H21"/>
  <c r="R20"/>
  <c r="Q20"/>
  <c r="P20"/>
  <c r="P17" s="1"/>
  <c r="N20"/>
  <c r="M20"/>
  <c r="L20"/>
  <c r="K20"/>
  <c r="J20"/>
  <c r="I20"/>
  <c r="H20"/>
  <c r="G20"/>
  <c r="V20" s="1"/>
  <c r="Q19"/>
  <c r="P19"/>
  <c r="N19"/>
  <c r="M19"/>
  <c r="M18"/>
  <c r="L19"/>
  <c r="K19"/>
  <c r="J19"/>
  <c r="I19"/>
  <c r="H19"/>
  <c r="G19"/>
  <c r="F19"/>
  <c r="V19" s="1"/>
  <c r="P18"/>
  <c r="N18"/>
  <c r="L18"/>
  <c r="K18"/>
  <c r="K17" s="1"/>
  <c r="J18"/>
  <c r="I18"/>
  <c r="H18"/>
  <c r="F18"/>
  <c r="G18"/>
  <c r="B66" i="3"/>
  <c r="B65"/>
  <c r="B64"/>
  <c r="B63"/>
  <c r="B61"/>
  <c r="B60"/>
  <c r="B59"/>
  <c r="B58"/>
  <c r="B46"/>
  <c r="B42"/>
  <c r="B22"/>
  <c r="G22" i="16"/>
  <c r="O11" i="3"/>
  <c r="I32" i="19"/>
  <c r="F32"/>
  <c r="C32"/>
  <c r="C26" i="18"/>
  <c r="E26"/>
  <c r="I26"/>
  <c r="C25"/>
  <c r="E25"/>
  <c r="G25"/>
  <c r="I25"/>
  <c r="K25" s="1"/>
  <c r="L25" s="1"/>
  <c r="C14"/>
  <c r="E14"/>
  <c r="G14"/>
  <c r="I14"/>
  <c r="K14" s="1"/>
  <c r="L14" s="1"/>
  <c r="C13"/>
  <c r="E13"/>
  <c r="K13" s="1"/>
  <c r="L13" s="1"/>
  <c r="G13"/>
  <c r="I13"/>
  <c r="J13" s="1"/>
  <c r="B12"/>
  <c r="B24" s="1"/>
  <c r="B13"/>
  <c r="B14"/>
  <c r="B26" s="1"/>
  <c r="D26" s="1"/>
  <c r="J8"/>
  <c r="J18" s="1"/>
  <c r="H8"/>
  <c r="H18" s="1"/>
  <c r="F8"/>
  <c r="F18" s="1"/>
  <c r="D8"/>
  <c r="D18" s="1"/>
  <c r="B1"/>
  <c r="O31" i="3"/>
  <c r="N31"/>
  <c r="M31"/>
  <c r="M48" s="1"/>
  <c r="L31"/>
  <c r="K31"/>
  <c r="J31"/>
  <c r="I31"/>
  <c r="H31"/>
  <c r="G31"/>
  <c r="F31"/>
  <c r="E31"/>
  <c r="D31"/>
  <c r="Q37"/>
  <c r="S37" s="1"/>
  <c r="S31" s="1"/>
  <c r="Q35"/>
  <c r="S35" s="1"/>
  <c r="Q33"/>
  <c r="S33" s="1"/>
  <c r="B37"/>
  <c r="B35"/>
  <c r="B33"/>
  <c r="N11"/>
  <c r="M11"/>
  <c r="L11"/>
  <c r="K11"/>
  <c r="J11"/>
  <c r="I11"/>
  <c r="H11"/>
  <c r="G11"/>
  <c r="F11"/>
  <c r="E11"/>
  <c r="D11"/>
  <c r="B17"/>
  <c r="B15"/>
  <c r="O9" s="1"/>
  <c r="B13"/>
  <c r="Q13"/>
  <c r="Q15"/>
  <c r="E9" i="5"/>
  <c r="A21" s="1"/>
  <c r="A22" s="1"/>
  <c r="A23" s="1"/>
  <c r="A24" s="1"/>
  <c r="A25" s="1"/>
  <c r="A26" s="1"/>
  <c r="A27" s="1"/>
  <c r="A28" s="1"/>
  <c r="A29" s="1"/>
  <c r="E4"/>
  <c r="E7"/>
  <c r="F19" s="1"/>
  <c r="E8"/>
  <c r="E9" i="14"/>
  <c r="F9" s="1"/>
  <c r="E4"/>
  <c r="E7" s="1"/>
  <c r="E8"/>
  <c r="E9" i="15"/>
  <c r="E4"/>
  <c r="F11" s="1"/>
  <c r="E8"/>
  <c r="F22" i="11"/>
  <c r="G9" i="16"/>
  <c r="J9" s="1"/>
  <c r="G12"/>
  <c r="J12" s="1"/>
  <c r="I22" i="11"/>
  <c r="L22"/>
  <c r="AB104" i="7"/>
  <c r="AB106"/>
  <c r="Q51"/>
  <c r="W51" s="1"/>
  <c r="Q57"/>
  <c r="T71"/>
  <c r="Y104"/>
  <c r="Y106"/>
  <c r="Q46" i="3"/>
  <c r="O40"/>
  <c r="S39" i="7" s="1"/>
  <c r="N40" i="3"/>
  <c r="S40" i="7" s="1"/>
  <c r="M40" i="3"/>
  <c r="R40" i="7" s="1"/>
  <c r="L40" i="3"/>
  <c r="P39" i="7" s="1"/>
  <c r="O44" i="3"/>
  <c r="T47" i="7" s="1"/>
  <c r="T42" s="1"/>
  <c r="N44" i="3"/>
  <c r="P44" i="7" s="1"/>
  <c r="M44" i="3"/>
  <c r="R47" i="7" s="1"/>
  <c r="L44" i="3"/>
  <c r="P46" i="7" s="1"/>
  <c r="G13" i="2"/>
  <c r="D8" i="16" s="1"/>
  <c r="G16" i="2"/>
  <c r="D11" i="16" s="1"/>
  <c r="G21" i="2"/>
  <c r="D13" i="16" s="1"/>
  <c r="G22" i="2"/>
  <c r="D14" i="16" s="1"/>
  <c r="G23" i="2"/>
  <c r="D15" i="16" s="1"/>
  <c r="G24" i="2"/>
  <c r="D16" i="16" s="1"/>
  <c r="G25" i="2"/>
  <c r="D17" i="16" s="1"/>
  <c r="G26" i="2"/>
  <c r="D18" i="16" s="1"/>
  <c r="G27" i="2"/>
  <c r="D19" i="16" s="1"/>
  <c r="G28" i="2"/>
  <c r="D20" i="16" s="1"/>
  <c r="G29" i="2"/>
  <c r="D21" i="16" s="1"/>
  <c r="D40" i="3"/>
  <c r="H39" i="7" s="1"/>
  <c r="E40" i="3"/>
  <c r="J40" i="7" s="1"/>
  <c r="F40" i="3"/>
  <c r="K40" i="7" s="1"/>
  <c r="G40" i="3"/>
  <c r="K39" i="7" s="1"/>
  <c r="H40" i="3"/>
  <c r="I40"/>
  <c r="J40"/>
  <c r="K40"/>
  <c r="Q52"/>
  <c r="Q53"/>
  <c r="S53"/>
  <c r="U53" s="1"/>
  <c r="Q58"/>
  <c r="S58" s="1"/>
  <c r="Y55" i="7" s="1"/>
  <c r="U58" i="3"/>
  <c r="Q59"/>
  <c r="Q60"/>
  <c r="S60" s="1"/>
  <c r="U60" s="1"/>
  <c r="Q61"/>
  <c r="S61"/>
  <c r="Q62"/>
  <c r="S62"/>
  <c r="Q63"/>
  <c r="S63" s="1"/>
  <c r="Q64"/>
  <c r="S64" s="1"/>
  <c r="Q65"/>
  <c r="Q66"/>
  <c r="S66" s="1"/>
  <c r="Q67"/>
  <c r="S67"/>
  <c r="K13" i="2"/>
  <c r="F21" i="13"/>
  <c r="G11" i="2"/>
  <c r="D6" i="16"/>
  <c r="B22"/>
  <c r="B23" i="13"/>
  <c r="E4" i="2"/>
  <c r="D5" i="7"/>
  <c r="F3" i="11" s="1"/>
  <c r="K44" i="3"/>
  <c r="N45" i="7"/>
  <c r="P49"/>
  <c r="P51"/>
  <c r="P53"/>
  <c r="P78"/>
  <c r="P98"/>
  <c r="E57"/>
  <c r="E49"/>
  <c r="E53"/>
  <c r="E78"/>
  <c r="E82"/>
  <c r="E98"/>
  <c r="E37" i="2"/>
  <c r="D8" i="7" s="1"/>
  <c r="E44" i="3"/>
  <c r="F51" i="7"/>
  <c r="F49"/>
  <c r="F53"/>
  <c r="F78"/>
  <c r="V78" s="1"/>
  <c r="F98"/>
  <c r="F44" i="3"/>
  <c r="G51" i="7"/>
  <c r="G49"/>
  <c r="V49" s="1"/>
  <c r="G53"/>
  <c r="G78"/>
  <c r="G98"/>
  <c r="G44" i="3"/>
  <c r="J45" i="7" s="1"/>
  <c r="H51"/>
  <c r="H49"/>
  <c r="H53"/>
  <c r="H78"/>
  <c r="H98"/>
  <c r="H44" i="3"/>
  <c r="I51" i="7"/>
  <c r="I49"/>
  <c r="I53"/>
  <c r="I78"/>
  <c r="I98"/>
  <c r="I44" i="3"/>
  <c r="N47" i="7"/>
  <c r="J51"/>
  <c r="J49"/>
  <c r="J53"/>
  <c r="B53" s="1"/>
  <c r="J78"/>
  <c r="J98"/>
  <c r="J44" i="3"/>
  <c r="K51" i="7"/>
  <c r="V51" s="1"/>
  <c r="K49"/>
  <c r="K53"/>
  <c r="K78"/>
  <c r="K98"/>
  <c r="B98" s="1"/>
  <c r="L51"/>
  <c r="L49"/>
  <c r="L53"/>
  <c r="L78"/>
  <c r="L98"/>
  <c r="M51"/>
  <c r="M49"/>
  <c r="N49"/>
  <c r="O49"/>
  <c r="M53"/>
  <c r="M78"/>
  <c r="M98"/>
  <c r="N51"/>
  <c r="N53"/>
  <c r="N78"/>
  <c r="N98"/>
  <c r="O51"/>
  <c r="O53"/>
  <c r="O78"/>
  <c r="O98"/>
  <c r="T17"/>
  <c r="D20" i="3"/>
  <c r="E20"/>
  <c r="F20"/>
  <c r="G20"/>
  <c r="H20"/>
  <c r="I20"/>
  <c r="J20"/>
  <c r="K20"/>
  <c r="L20"/>
  <c r="L7" s="1"/>
  <c r="M20"/>
  <c r="N20"/>
  <c r="O20"/>
  <c r="Q54"/>
  <c r="S54" s="1"/>
  <c r="G12" i="2"/>
  <c r="D7" i="16" s="1"/>
  <c r="G15" i="2"/>
  <c r="D10" i="16" s="1"/>
  <c r="G34" i="2"/>
  <c r="D23" i="16" s="1"/>
  <c r="S20" i="3"/>
  <c r="K11" i="2"/>
  <c r="K12"/>
  <c r="K9" s="1"/>
  <c r="K7" s="1"/>
  <c r="K16"/>
  <c r="J22" i="16"/>
  <c r="U20" i="3"/>
  <c r="O13" i="2"/>
  <c r="O21"/>
  <c r="O22"/>
  <c r="O23"/>
  <c r="O24"/>
  <c r="O25"/>
  <c r="O26"/>
  <c r="C6" i="16"/>
  <c r="E6" s="1"/>
  <c r="F6"/>
  <c r="I6"/>
  <c r="C7"/>
  <c r="F7"/>
  <c r="I7"/>
  <c r="C8"/>
  <c r="F8"/>
  <c r="I8"/>
  <c r="C9"/>
  <c r="F9"/>
  <c r="I9"/>
  <c r="C11"/>
  <c r="F11"/>
  <c r="I11"/>
  <c r="C10"/>
  <c r="F10"/>
  <c r="I10"/>
  <c r="C12"/>
  <c r="E12"/>
  <c r="I12"/>
  <c r="C13"/>
  <c r="F13"/>
  <c r="I13"/>
  <c r="C14"/>
  <c r="F14"/>
  <c r="I14"/>
  <c r="C15"/>
  <c r="F15"/>
  <c r="I15"/>
  <c r="C16"/>
  <c r="F16"/>
  <c r="I16"/>
  <c r="C17"/>
  <c r="F17"/>
  <c r="I17"/>
  <c r="C18"/>
  <c r="F18"/>
  <c r="I18"/>
  <c r="C19"/>
  <c r="F19"/>
  <c r="I19"/>
  <c r="C20"/>
  <c r="F20"/>
  <c r="I20"/>
  <c r="C21"/>
  <c r="F21"/>
  <c r="I21"/>
  <c r="C22"/>
  <c r="E22" s="1"/>
  <c r="F22"/>
  <c r="I22"/>
  <c r="C23"/>
  <c r="E23" s="1"/>
  <c r="F23"/>
  <c r="I23"/>
  <c r="L48" i="10"/>
  <c r="L47" s="1"/>
  <c r="I48"/>
  <c r="I47" s="1"/>
  <c r="W19" i="7"/>
  <c r="F48" i="10"/>
  <c r="F47" s="1"/>
  <c r="F13" i="4"/>
  <c r="F7" s="1"/>
  <c r="W59" i="7"/>
  <c r="W60"/>
  <c r="W66"/>
  <c r="W68"/>
  <c r="W73"/>
  <c r="W84"/>
  <c r="W85"/>
  <c r="B9" i="17"/>
  <c r="B7"/>
  <c r="B1"/>
  <c r="A110" i="7"/>
  <c r="L13" i="4"/>
  <c r="L9"/>
  <c r="M18" i="2"/>
  <c r="M9"/>
  <c r="Q22" i="18" s="1"/>
  <c r="M31" i="2"/>
  <c r="L18" i="4"/>
  <c r="I9"/>
  <c r="I13"/>
  <c r="I18"/>
  <c r="A1" i="5"/>
  <c r="A1" i="14" s="1"/>
  <c r="A1" i="15" s="1"/>
  <c r="A1" i="16" s="1"/>
  <c r="K15" i="2"/>
  <c r="L90" i="10"/>
  <c r="I90"/>
  <c r="F90"/>
  <c r="F9" i="4"/>
  <c r="F18"/>
  <c r="E9" i="2"/>
  <c r="E18"/>
  <c r="E31"/>
  <c r="B19" i="13"/>
  <c r="D28" i="7"/>
  <c r="D35"/>
  <c r="D42"/>
  <c r="D57"/>
  <c r="D64"/>
  <c r="D71"/>
  <c r="D82"/>
  <c r="D91"/>
  <c r="I18" i="2"/>
  <c r="I9"/>
  <c r="I31"/>
  <c r="F23" i="13"/>
  <c r="F19"/>
  <c r="B27"/>
  <c r="B25"/>
  <c r="B21"/>
  <c r="O12" i="2"/>
  <c r="B1" i="10"/>
  <c r="A1" i="19" s="1"/>
  <c r="B1" i="11"/>
  <c r="A1" i="7"/>
  <c r="B1" i="12"/>
  <c r="B1" i="6"/>
  <c r="B1" i="3"/>
  <c r="B1" i="4"/>
  <c r="B1" i="2"/>
  <c r="W29" i="7"/>
  <c r="W36"/>
  <c r="W43"/>
  <c r="W58"/>
  <c r="W65"/>
  <c r="W72"/>
  <c r="W83"/>
  <c r="W92"/>
  <c r="W11"/>
  <c r="W18"/>
  <c r="B7" i="6"/>
  <c r="A10" i="7" s="1"/>
  <c r="D10"/>
  <c r="D17"/>
  <c r="O11" i="2"/>
  <c r="O15"/>
  <c r="O16"/>
  <c r="O27"/>
  <c r="O28"/>
  <c r="O29"/>
  <c r="K34"/>
  <c r="K31"/>
  <c r="O34"/>
  <c r="O31"/>
  <c r="B28" i="6"/>
  <c r="B27"/>
  <c r="A91" i="7" s="1"/>
  <c r="B26" i="6"/>
  <c r="A89" i="7" s="1"/>
  <c r="B25" i="6"/>
  <c r="A82" i="7" s="1"/>
  <c r="B24" i="6"/>
  <c r="A80" i="7" s="1"/>
  <c r="B23" i="6"/>
  <c r="A78" i="7" s="1"/>
  <c r="B22" i="6"/>
  <c r="A71" i="7" s="1"/>
  <c r="B21" i="6"/>
  <c r="A64" i="7" s="1"/>
  <c r="B20" i="6"/>
  <c r="A57" i="7" s="1"/>
  <c r="B19" i="6"/>
  <c r="A55" i="7" s="1"/>
  <c r="B17" i="6"/>
  <c r="A53" i="7" s="1"/>
  <c r="B16" i="6"/>
  <c r="A51" i="7" s="1"/>
  <c r="B15" i="6"/>
  <c r="A49" i="7" s="1"/>
  <c r="N48" i="3"/>
  <c r="J48"/>
  <c r="T25"/>
  <c r="R25"/>
  <c r="C5"/>
  <c r="P25"/>
  <c r="O25"/>
  <c r="N25"/>
  <c r="M25"/>
  <c r="L25"/>
  <c r="K25"/>
  <c r="J25"/>
  <c r="I25"/>
  <c r="H25"/>
  <c r="G25"/>
  <c r="F25"/>
  <c r="E25"/>
  <c r="D25"/>
  <c r="Q22"/>
  <c r="Q20" s="1"/>
  <c r="P6" i="7"/>
  <c r="O6"/>
  <c r="N6"/>
  <c r="M6"/>
  <c r="L6"/>
  <c r="K6"/>
  <c r="J6"/>
  <c r="I6"/>
  <c r="H6"/>
  <c r="G6"/>
  <c r="F6"/>
  <c r="E6"/>
  <c r="Q17" i="3"/>
  <c r="S17" s="1"/>
  <c r="U17" s="1"/>
  <c r="Q14" i="18" s="1"/>
  <c r="G4" i="2"/>
  <c r="B22" i="12"/>
  <c r="B33" s="1"/>
  <c r="B21"/>
  <c r="B32" s="1"/>
  <c r="B20"/>
  <c r="B31" s="1"/>
  <c r="B19"/>
  <c r="B30" s="1"/>
  <c r="B12" i="16"/>
  <c r="B9"/>
  <c r="B21"/>
  <c r="B20"/>
  <c r="B19"/>
  <c r="B18"/>
  <c r="B17"/>
  <c r="B16"/>
  <c r="B15"/>
  <c r="B14"/>
  <c r="B13"/>
  <c r="B11"/>
  <c r="B10"/>
  <c r="B8"/>
  <c r="B7"/>
  <c r="B6"/>
  <c r="B23"/>
  <c r="V68" i="7"/>
  <c r="A62"/>
  <c r="A69" s="1"/>
  <c r="A76" s="1"/>
  <c r="A87" s="1"/>
  <c r="A96" s="1"/>
  <c r="A61"/>
  <c r="A68" s="1"/>
  <c r="A75" s="1"/>
  <c r="A86" s="1"/>
  <c r="A95" s="1"/>
  <c r="A60"/>
  <c r="A67" s="1"/>
  <c r="A74" s="1"/>
  <c r="A85" s="1"/>
  <c r="A94" s="1"/>
  <c r="A59"/>
  <c r="A66" s="1"/>
  <c r="A73" s="1"/>
  <c r="A84" s="1"/>
  <c r="A93" s="1"/>
  <c r="A58"/>
  <c r="A65" s="1"/>
  <c r="A72" s="1"/>
  <c r="A83" s="1"/>
  <c r="A92" s="1"/>
  <c r="A98"/>
  <c r="B13" i="6"/>
  <c r="A42" i="7" s="1"/>
  <c r="B12" i="6"/>
  <c r="A35" i="7" s="1"/>
  <c r="B10" i="6"/>
  <c r="A28" i="7" s="1"/>
  <c r="B8" i="6"/>
  <c r="A17" i="7" s="1"/>
  <c r="I28" i="6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7"/>
  <c r="J17" s="1"/>
  <c r="I16"/>
  <c r="J16" s="1"/>
  <c r="I15"/>
  <c r="J15" s="1"/>
  <c r="I13"/>
  <c r="J13" s="1"/>
  <c r="I12"/>
  <c r="J12" s="1"/>
  <c r="I10"/>
  <c r="J10" s="1"/>
  <c r="I8"/>
  <c r="J8" s="1"/>
  <c r="I7"/>
  <c r="J7" s="1"/>
  <c r="D50" i="3"/>
  <c r="D56"/>
  <c r="Q56" s="1"/>
  <c r="E50"/>
  <c r="E56"/>
  <c r="F50"/>
  <c r="F56"/>
  <c r="G50"/>
  <c r="G56"/>
  <c r="H50"/>
  <c r="H56"/>
  <c r="I50"/>
  <c r="I56"/>
  <c r="J50"/>
  <c r="J56"/>
  <c r="G24" i="18" s="1"/>
  <c r="K50" i="3"/>
  <c r="K56"/>
  <c r="L50"/>
  <c r="L56"/>
  <c r="M50"/>
  <c r="M56"/>
  <c r="I24" i="18" s="1"/>
  <c r="N50" i="3"/>
  <c r="N56"/>
  <c r="O50"/>
  <c r="O56"/>
  <c r="F9" i="15"/>
  <c r="I82" i="7"/>
  <c r="G91"/>
  <c r="F17"/>
  <c r="Q40" i="3"/>
  <c r="Q42" s="1"/>
  <c r="S42" s="1"/>
  <c r="O37" i="7"/>
  <c r="I39"/>
  <c r="P38"/>
  <c r="G37"/>
  <c r="L38"/>
  <c r="Q39"/>
  <c r="H38"/>
  <c r="K29" i="3"/>
  <c r="O32" i="7" s="1"/>
  <c r="W20"/>
  <c r="V62"/>
  <c r="F7" i="3"/>
  <c r="E7"/>
  <c r="K18" i="2"/>
  <c r="Y87" i="7"/>
  <c r="Z87" s="1"/>
  <c r="I46"/>
  <c r="M43"/>
  <c r="G44"/>
  <c r="K44"/>
  <c r="O44"/>
  <c r="Q45"/>
  <c r="Q42" s="1"/>
  <c r="K46"/>
  <c r="O46"/>
  <c r="S46"/>
  <c r="S47"/>
  <c r="M47"/>
  <c r="Q47"/>
  <c r="H48" i="3"/>
  <c r="H43" i="7"/>
  <c r="L43"/>
  <c r="P43"/>
  <c r="J44"/>
  <c r="N44"/>
  <c r="H45"/>
  <c r="L45"/>
  <c r="P45"/>
  <c r="J43"/>
  <c r="N46"/>
  <c r="R46"/>
  <c r="R45"/>
  <c r="L47"/>
  <c r="P47"/>
  <c r="K43"/>
  <c r="O43"/>
  <c r="O45"/>
  <c r="M44"/>
  <c r="Q44"/>
  <c r="M46"/>
  <c r="Q46"/>
  <c r="K47"/>
  <c r="N43"/>
  <c r="I36"/>
  <c r="I37"/>
  <c r="I38"/>
  <c r="I40"/>
  <c r="M36"/>
  <c r="M40"/>
  <c r="Q40"/>
  <c r="E36"/>
  <c r="E35" s="1"/>
  <c r="F36"/>
  <c r="N36"/>
  <c r="H37"/>
  <c r="H36"/>
  <c r="L37"/>
  <c r="P37"/>
  <c r="M38"/>
  <c r="Q38"/>
  <c r="J39"/>
  <c r="R39"/>
  <c r="R38"/>
  <c r="P36"/>
  <c r="J37"/>
  <c r="N37"/>
  <c r="F37"/>
  <c r="K38"/>
  <c r="O38"/>
  <c r="G38"/>
  <c r="L39"/>
  <c r="L40"/>
  <c r="T40"/>
  <c r="G36"/>
  <c r="O36"/>
  <c r="M37"/>
  <c r="Q37"/>
  <c r="W37"/>
  <c r="J38"/>
  <c r="N38"/>
  <c r="D44" i="3"/>
  <c r="I47" i="7" s="1"/>
  <c r="F11" i="5"/>
  <c r="I7" i="4"/>
  <c r="G17" i="7"/>
  <c r="F82"/>
  <c r="R64"/>
  <c r="Q17"/>
  <c r="M57"/>
  <c r="V67"/>
  <c r="S82"/>
  <c r="V96"/>
  <c r="J64"/>
  <c r="G57"/>
  <c r="S91"/>
  <c r="K57"/>
  <c r="P71"/>
  <c r="AB17"/>
  <c r="I91"/>
  <c r="R91"/>
  <c r="J71"/>
  <c r="O64"/>
  <c r="N82"/>
  <c r="N17"/>
  <c r="K91"/>
  <c r="H17"/>
  <c r="F71"/>
  <c r="F57"/>
  <c r="S57"/>
  <c r="R71"/>
  <c r="G48" i="3"/>
  <c r="O48"/>
  <c r="O7"/>
  <c r="H14" i="18"/>
  <c r="H16" s="1"/>
  <c r="H13"/>
  <c r="Y51" i="7"/>
  <c r="Z51" s="1"/>
  <c r="C12" i="18"/>
  <c r="D12" s="1"/>
  <c r="D7" i="3"/>
  <c r="O18" i="2"/>
  <c r="G31"/>
  <c r="F16" i="11"/>
  <c r="G18" i="2"/>
  <c r="R82" i="7"/>
  <c r="G7" i="3"/>
  <c r="M7"/>
  <c r="G12" i="18"/>
  <c r="H12" s="1"/>
  <c r="F18" i="11"/>
  <c r="AA55" i="7"/>
  <c r="T35"/>
  <c r="N22" i="18"/>
  <c r="G9" i="2"/>
  <c r="E12" i="18"/>
  <c r="F12" s="1"/>
  <c r="A21" i="15"/>
  <c r="A22" s="1"/>
  <c r="A23" s="1"/>
  <c r="Y75" i="7"/>
  <c r="Z75" s="1"/>
  <c r="Y76"/>
  <c r="Z76" s="1"/>
  <c r="Y72"/>
  <c r="Y74"/>
  <c r="Z74" s="1"/>
  <c r="Y66"/>
  <c r="Z66" s="1"/>
  <c r="Z64" s="1"/>
  <c r="Y67"/>
  <c r="Z67" s="1"/>
  <c r="Y68"/>
  <c r="Z68" s="1"/>
  <c r="Y69"/>
  <c r="Z69" s="1"/>
  <c r="Y65"/>
  <c r="H46"/>
  <c r="D48" i="3"/>
  <c r="Y78" i="7"/>
  <c r="AB55"/>
  <c r="AB51"/>
  <c r="AC51" s="1"/>
  <c r="W44"/>
  <c r="G7" i="2"/>
  <c r="N75" i="3" s="1"/>
  <c r="N73" s="1"/>
  <c r="M44" i="2"/>
  <c r="M42" s="1"/>
  <c r="M7" s="1"/>
  <c r="I44"/>
  <c r="I42" s="1"/>
  <c r="I7" s="1"/>
  <c r="E44"/>
  <c r="E42" s="1"/>
  <c r="E7" s="1"/>
  <c r="Y98" i="7"/>
  <c r="AA98" s="1"/>
  <c r="U67" i="3"/>
  <c r="AB98" i="7"/>
  <c r="D75" i="3"/>
  <c r="D73" s="1"/>
  <c r="U63"/>
  <c r="Y80" i="7"/>
  <c r="AA80" s="1"/>
  <c r="U35" i="3"/>
  <c r="Q25" i="18" s="1"/>
  <c r="N25"/>
  <c r="N14"/>
  <c r="Y84" i="7"/>
  <c r="Z84" s="1"/>
  <c r="U64" i="3"/>
  <c r="AB87" i="7" s="1"/>
  <c r="AC87" s="1"/>
  <c r="S59" i="3"/>
  <c r="U59" s="1"/>
  <c r="S46"/>
  <c r="U46" s="1"/>
  <c r="U44" s="1"/>
  <c r="Q44"/>
  <c r="Y61" i="7"/>
  <c r="Z61" s="1"/>
  <c r="Y59"/>
  <c r="Z59" s="1"/>
  <c r="Y58"/>
  <c r="AB84"/>
  <c r="AB80"/>
  <c r="AD80" s="1"/>
  <c r="F26" i="18"/>
  <c r="B25"/>
  <c r="H25" s="1"/>
  <c r="W46" i="7"/>
  <c r="AC84"/>
  <c r="Q35"/>
  <c r="V53"/>
  <c r="B78"/>
  <c r="V5"/>
  <c r="D13" i="18"/>
  <c r="F13"/>
  <c r="P33" i="7"/>
  <c r="H12" i="16"/>
  <c r="K12"/>
  <c r="E9"/>
  <c r="D26" i="7"/>
  <c r="V8"/>
  <c r="F69" i="10"/>
  <c r="I69"/>
  <c r="F9" i="3"/>
  <c r="H12" i="7" s="1"/>
  <c r="I9" i="3"/>
  <c r="N15" i="7" s="1"/>
  <c r="H29" i="3"/>
  <c r="I29" i="7" s="1"/>
  <c r="I29" i="3"/>
  <c r="J29" i="7" s="1"/>
  <c r="F29" i="3"/>
  <c r="J32" i="7" s="1"/>
  <c r="N29" i="3"/>
  <c r="O29" i="7" s="1"/>
  <c r="D29" i="3"/>
  <c r="F30" i="7" s="1"/>
  <c r="G29" i="3"/>
  <c r="L33" i="7" s="1"/>
  <c r="O29" i="3"/>
  <c r="R31" i="7" s="1"/>
  <c r="E29" i="3"/>
  <c r="G30" i="7" s="1"/>
  <c r="J29" i="3"/>
  <c r="L29"/>
  <c r="M29" i="7" s="1"/>
  <c r="J26" i="18"/>
  <c r="J17" i="7"/>
  <c r="V21"/>
  <c r="B55"/>
  <c r="G64"/>
  <c r="G71"/>
  <c r="W74"/>
  <c r="V83"/>
  <c r="J82"/>
  <c r="T82"/>
  <c r="J14" i="18"/>
  <c r="I4" i="2"/>
  <c r="B15" i="12" s="1"/>
  <c r="F4" i="4"/>
  <c r="C3" i="16" s="1"/>
  <c r="G49" i="10"/>
  <c r="G48"/>
  <c r="G6" i="16"/>
  <c r="J6" s="1"/>
  <c r="K6" s="1"/>
  <c r="P32" i="7"/>
  <c r="O31"/>
  <c r="Q33"/>
  <c r="S33"/>
  <c r="T33"/>
  <c r="T28" s="1"/>
  <c r="Q31"/>
  <c r="P30"/>
  <c r="I32"/>
  <c r="F29"/>
  <c r="J33"/>
  <c r="I33"/>
  <c r="E29"/>
  <c r="E28" s="1"/>
  <c r="G31"/>
  <c r="H32"/>
  <c r="M33"/>
  <c r="K31"/>
  <c r="L32"/>
  <c r="M14"/>
  <c r="M31"/>
  <c r="L30"/>
  <c r="K29"/>
  <c r="O33"/>
  <c r="N32"/>
  <c r="N33"/>
  <c r="K4" i="2"/>
  <c r="Y5" i="7"/>
  <c r="Q5" s="1"/>
  <c r="M4" i="2"/>
  <c r="O4" s="1"/>
  <c r="I30" i="7"/>
  <c r="J31"/>
  <c r="K33"/>
  <c r="H30"/>
  <c r="L13"/>
  <c r="G11"/>
  <c r="L4" i="4"/>
  <c r="I3" i="16" s="1"/>
  <c r="U5" i="3" s="1"/>
  <c r="R8" i="18" s="1"/>
  <c r="R18" s="1"/>
  <c r="I3" i="11" l="1"/>
  <c r="L3" s="1"/>
  <c r="F5" i="10"/>
  <c r="Q12" i="7"/>
  <c r="P11"/>
  <c r="R13"/>
  <c r="S14"/>
  <c r="J14"/>
  <c r="K15"/>
  <c r="K12"/>
  <c r="I31"/>
  <c r="K30"/>
  <c r="L31"/>
  <c r="J30"/>
  <c r="J28" s="1"/>
  <c r="P29"/>
  <c r="N30"/>
  <c r="V58"/>
  <c r="S17"/>
  <c r="H9" i="3"/>
  <c r="M9"/>
  <c r="N31" i="7"/>
  <c r="A21" i="14"/>
  <c r="A22" s="1"/>
  <c r="A23" s="1"/>
  <c r="A24" s="1"/>
  <c r="A25" s="1"/>
  <c r="A26" s="1"/>
  <c r="A27" s="1"/>
  <c r="A28" s="1"/>
  <c r="A29" s="1"/>
  <c r="A30" s="1"/>
  <c r="F14" i="18"/>
  <c r="C20" i="5"/>
  <c r="D71" i="3" s="1"/>
  <c r="D69" s="1"/>
  <c r="E13" i="5"/>
  <c r="D14" i="18"/>
  <c r="D16" s="1"/>
  <c r="Q82" i="7"/>
  <c r="G82"/>
  <c r="Q91"/>
  <c r="R17"/>
  <c r="H9" i="16"/>
  <c r="D9" i="3"/>
  <c r="N9"/>
  <c r="W62" i="7"/>
  <c r="W57" s="1"/>
  <c r="E21" i="16"/>
  <c r="E7" i="15"/>
  <c r="F19" s="1"/>
  <c r="C20" s="1"/>
  <c r="M17" i="7"/>
  <c r="V61"/>
  <c r="W61"/>
  <c r="V69"/>
  <c r="M71"/>
  <c r="O71"/>
  <c r="W75"/>
  <c r="P82"/>
  <c r="V85"/>
  <c r="V92"/>
  <c r="J91"/>
  <c r="W31"/>
  <c r="I13"/>
  <c r="G29"/>
  <c r="Q30"/>
  <c r="W30" s="1"/>
  <c r="S32"/>
  <c r="R14" i="18"/>
  <c r="B49" i="7"/>
  <c r="B80"/>
  <c r="L9" i="3"/>
  <c r="J9"/>
  <c r="M30" i="7"/>
  <c r="B51"/>
  <c r="V98"/>
  <c r="O25" i="18"/>
  <c r="H22" i="16"/>
  <c r="Y17" i="7"/>
  <c r="N42"/>
  <c r="W64"/>
  <c r="L57"/>
  <c r="J11"/>
  <c r="H6" i="16"/>
  <c r="K9" i="3"/>
  <c r="L11" i="7" s="1"/>
  <c r="L29"/>
  <c r="H26" i="18"/>
  <c r="O14"/>
  <c r="K22" i="16"/>
  <c r="F9" i="5"/>
  <c r="P57" i="7"/>
  <c r="J57"/>
  <c r="Q64"/>
  <c r="W96"/>
  <c r="F28"/>
  <c r="D27" i="3"/>
  <c r="K9" i="16"/>
  <c r="J2" i="2"/>
  <c r="J1"/>
  <c r="I1"/>
  <c r="I1" i="4"/>
  <c r="I2"/>
  <c r="I2" i="2"/>
  <c r="B22" i="18"/>
  <c r="F24"/>
  <c r="F16"/>
  <c r="V38" i="7"/>
  <c r="J24" i="18"/>
  <c r="H24"/>
  <c r="H28" s="1"/>
  <c r="H31" s="1"/>
  <c r="V60" i="7"/>
  <c r="H64"/>
  <c r="V66"/>
  <c r="B91"/>
  <c r="V33"/>
  <c r="S28"/>
  <c r="G28"/>
  <c r="J1" i="4"/>
  <c r="R35" i="7"/>
  <c r="F35"/>
  <c r="W47"/>
  <c r="W40"/>
  <c r="S35"/>
  <c r="V18"/>
  <c r="O17"/>
  <c r="M64"/>
  <c r="W76"/>
  <c r="W71" s="1"/>
  <c r="V95"/>
  <c r="M49" i="10"/>
  <c r="M48"/>
  <c r="E7" i="16"/>
  <c r="D25"/>
  <c r="G7"/>
  <c r="J7" s="1"/>
  <c r="Y96" i="7"/>
  <c r="Z96" s="1"/>
  <c r="Y93"/>
  <c r="Z93" s="1"/>
  <c r="Y94"/>
  <c r="Z94" s="1"/>
  <c r="G20" i="16"/>
  <c r="J20" s="1"/>
  <c r="H20"/>
  <c r="E20"/>
  <c r="E18"/>
  <c r="G18"/>
  <c r="J18" s="1"/>
  <c r="K18"/>
  <c r="G16"/>
  <c r="J16" s="1"/>
  <c r="H16"/>
  <c r="K16"/>
  <c r="E16"/>
  <c r="G14"/>
  <c r="J14" s="1"/>
  <c r="E14"/>
  <c r="G11"/>
  <c r="J11" s="1"/>
  <c r="K11" s="1"/>
  <c r="E11"/>
  <c r="F13" i="10"/>
  <c r="P42" i="7"/>
  <c r="W12"/>
  <c r="AB61"/>
  <c r="AC61" s="1"/>
  <c r="AB58"/>
  <c r="AB60"/>
  <c r="AC60" s="1"/>
  <c r="AC57" s="1"/>
  <c r="AB62"/>
  <c r="AC62" s="1"/>
  <c r="AB59"/>
  <c r="AC59" s="1"/>
  <c r="J48" i="10"/>
  <c r="J49"/>
  <c r="G10" i="16"/>
  <c r="J10" s="1"/>
  <c r="K10" s="1"/>
  <c r="E10"/>
  <c r="H10"/>
  <c r="Y53" i="7"/>
  <c r="AA53" s="1"/>
  <c r="U54" i="3"/>
  <c r="AB53" i="7" s="1"/>
  <c r="AD53" s="1"/>
  <c r="G21" i="16"/>
  <c r="J21" s="1"/>
  <c r="K21"/>
  <c r="G19"/>
  <c r="J19" s="1"/>
  <c r="E19"/>
  <c r="G17"/>
  <c r="H17" s="1"/>
  <c r="E17"/>
  <c r="E15"/>
  <c r="G15"/>
  <c r="J15" s="1"/>
  <c r="K15" s="1"/>
  <c r="G13"/>
  <c r="J13" s="1"/>
  <c r="K13" s="1"/>
  <c r="E13"/>
  <c r="G8"/>
  <c r="J8" s="1"/>
  <c r="K8" s="1"/>
  <c r="E8"/>
  <c r="F19" i="14"/>
  <c r="E13"/>
  <c r="I28" i="7"/>
  <c r="T112"/>
  <c r="R42"/>
  <c r="D112"/>
  <c r="D116" s="1"/>
  <c r="J23" i="4"/>
  <c r="B26" i="12"/>
  <c r="C6" i="19"/>
  <c r="D25" i="18"/>
  <c r="J25"/>
  <c r="J28" s="1"/>
  <c r="F25"/>
  <c r="F28" s="1"/>
  <c r="F31" s="1"/>
  <c r="H29" i="7"/>
  <c r="K32"/>
  <c r="I4" i="4"/>
  <c r="T15" i="7"/>
  <c r="T10" s="1"/>
  <c r="T26" s="1"/>
  <c r="N13"/>
  <c r="M32"/>
  <c r="L28"/>
  <c r="H31"/>
  <c r="P13"/>
  <c r="I11"/>
  <c r="M15"/>
  <c r="R32"/>
  <c r="V91"/>
  <c r="AD51"/>
  <c r="Q13"/>
  <c r="W13" s="1"/>
  <c r="S15"/>
  <c r="S10" s="1"/>
  <c r="F12"/>
  <c r="Y64"/>
  <c r="AA64" s="1"/>
  <c r="J2" i="4"/>
  <c r="O22" i="18"/>
  <c r="Y62" i="7"/>
  <c r="Z62" s="1"/>
  <c r="Y60"/>
  <c r="Z60" s="1"/>
  <c r="R25" i="18"/>
  <c r="AD98" i="7"/>
  <c r="G45"/>
  <c r="E43"/>
  <c r="E42" s="1"/>
  <c r="W45"/>
  <c r="W42" s="1"/>
  <c r="I15"/>
  <c r="W38"/>
  <c r="W39"/>
  <c r="H35"/>
  <c r="S42"/>
  <c r="I44"/>
  <c r="F11" i="14"/>
  <c r="F48" i="3"/>
  <c r="G23" i="16"/>
  <c r="J23" s="1"/>
  <c r="K7" i="3"/>
  <c r="I7"/>
  <c r="F64" i="7"/>
  <c r="L69" i="10"/>
  <c r="E13" i="15"/>
  <c r="D20" s="1"/>
  <c r="E20" s="1"/>
  <c r="F20" s="1"/>
  <c r="C21" s="1"/>
  <c r="Q11" i="3"/>
  <c r="Q9" s="1"/>
  <c r="H7"/>
  <c r="J7"/>
  <c r="N7"/>
  <c r="M29"/>
  <c r="Q31"/>
  <c r="L48"/>
  <c r="L17" i="7"/>
  <c r="B17" s="1"/>
  <c r="Z17"/>
  <c r="AA17" s="1"/>
  <c r="AC17"/>
  <c r="AD17" s="1"/>
  <c r="N57"/>
  <c r="V72"/>
  <c r="K71"/>
  <c r="B71" s="1"/>
  <c r="V75"/>
  <c r="V76"/>
  <c r="L82"/>
  <c r="V82" s="1"/>
  <c r="V93"/>
  <c r="W94"/>
  <c r="A30" i="5"/>
  <c r="G1" i="4"/>
  <c r="E1" i="2"/>
  <c r="F2"/>
  <c r="F2" i="4"/>
  <c r="F1"/>
  <c r="G2"/>
  <c r="E2" i="2"/>
  <c r="F1"/>
  <c r="U42" i="3"/>
  <c r="U40" s="1"/>
  <c r="S40"/>
  <c r="Z57" i="7"/>
  <c r="AB44"/>
  <c r="AC44" s="1"/>
  <c r="AB46"/>
  <c r="AC46" s="1"/>
  <c r="AB47"/>
  <c r="AC47" s="1"/>
  <c r="AB43"/>
  <c r="AB45"/>
  <c r="AC45" s="1"/>
  <c r="A24" i="15"/>
  <c r="AB69" i="7"/>
  <c r="AC69" s="1"/>
  <c r="AB67"/>
  <c r="AC67" s="1"/>
  <c r="AB66"/>
  <c r="AC66" s="1"/>
  <c r="AB68"/>
  <c r="AC68" s="1"/>
  <c r="AB65"/>
  <c r="U25" i="3"/>
  <c r="Q5"/>
  <c r="C25"/>
  <c r="L46" i="7"/>
  <c r="I43"/>
  <c r="K45"/>
  <c r="K42" s="1"/>
  <c r="J47"/>
  <c r="E48" i="3"/>
  <c r="F43" i="7"/>
  <c r="U66" i="3"/>
  <c r="Y92" i="7"/>
  <c r="Y95"/>
  <c r="Z95" s="1"/>
  <c r="Z91" s="1"/>
  <c r="S65" i="3"/>
  <c r="B89" i="7"/>
  <c r="U62" i="3"/>
  <c r="AA78" i="7"/>
  <c r="S52" i="3"/>
  <c r="Q50"/>
  <c r="O40" i="7"/>
  <c r="N39"/>
  <c r="K36"/>
  <c r="S15" i="3"/>
  <c r="N13" i="18" s="1"/>
  <c r="O13" s="1"/>
  <c r="U15" i="3"/>
  <c r="Q13" i="18" s="1"/>
  <c r="R13" s="1"/>
  <c r="U37" i="3"/>
  <c r="N26" i="18"/>
  <c r="O26" s="1"/>
  <c r="AB5" i="7"/>
  <c r="D20" i="5"/>
  <c r="R22" i="18"/>
  <c r="S44" i="3"/>
  <c r="AB86" i="7"/>
  <c r="AC86" s="1"/>
  <c r="AB85"/>
  <c r="AC85" s="1"/>
  <c r="AC82" s="1"/>
  <c r="AB83"/>
  <c r="M75" i="3"/>
  <c r="M73" s="1"/>
  <c r="J75"/>
  <c r="J73" s="1"/>
  <c r="E75"/>
  <c r="O75"/>
  <c r="O73" s="1"/>
  <c r="F75"/>
  <c r="F73" s="1"/>
  <c r="L75"/>
  <c r="L73" s="1"/>
  <c r="K75"/>
  <c r="K73" s="1"/>
  <c r="G75"/>
  <c r="G73" s="1"/>
  <c r="H75"/>
  <c r="H73" s="1"/>
  <c r="I75"/>
  <c r="I73" s="1"/>
  <c r="AA51" i="7"/>
  <c r="G35"/>
  <c r="F44"/>
  <c r="H23" i="16"/>
  <c r="I12" i="18"/>
  <c r="S29" i="3"/>
  <c r="L44" i="7"/>
  <c r="M45"/>
  <c r="M42" s="1"/>
  <c r="O47"/>
  <c r="O42" s="1"/>
  <c r="H44"/>
  <c r="H42" s="1"/>
  <c r="I45"/>
  <c r="J46"/>
  <c r="G43"/>
  <c r="G42" s="1"/>
  <c r="C24" i="18"/>
  <c r="Y83" i="7"/>
  <c r="Y86"/>
  <c r="Z86" s="1"/>
  <c r="Y85"/>
  <c r="Z85" s="1"/>
  <c r="U61" i="3"/>
  <c r="Y73" i="7"/>
  <c r="Z73" s="1"/>
  <c r="Z71" s="1"/>
  <c r="O39"/>
  <c r="L36"/>
  <c r="L35" s="1"/>
  <c r="P40"/>
  <c r="P35" s="1"/>
  <c r="K48" i="3"/>
  <c r="N40" i="7"/>
  <c r="I48" i="3"/>
  <c r="Q48" s="1"/>
  <c r="K37" i="7"/>
  <c r="V37" s="1"/>
  <c r="M39"/>
  <c r="M35" s="1"/>
  <c r="J36"/>
  <c r="U13" i="3"/>
  <c r="S13"/>
  <c r="E9"/>
  <c r="G9"/>
  <c r="N29" i="7"/>
  <c r="O30"/>
  <c r="Y71"/>
  <c r="AA71" s="1"/>
  <c r="O35"/>
  <c r="I35"/>
  <c r="L42"/>
  <c r="C22" i="18"/>
  <c r="L7" i="4"/>
  <c r="H15" i="16"/>
  <c r="O9" i="2"/>
  <c r="O7" s="1"/>
  <c r="AD55" i="7"/>
  <c r="V39"/>
  <c r="U33" i="3"/>
  <c r="K13" i="7" l="1"/>
  <c r="J12"/>
  <c r="L14"/>
  <c r="B2" i="5"/>
  <c r="F3" i="17"/>
  <c r="I3" s="1"/>
  <c r="L3" s="1"/>
  <c r="F42" i="10"/>
  <c r="I5"/>
  <c r="W91" i="7"/>
  <c r="S112"/>
  <c r="S26"/>
  <c r="J17" i="16"/>
  <c r="K17" s="1"/>
  <c r="H19"/>
  <c r="H11"/>
  <c r="K20"/>
  <c r="P14" i="7"/>
  <c r="Q15"/>
  <c r="M11"/>
  <c r="M10" s="1"/>
  <c r="M26" s="1"/>
  <c r="O13"/>
  <c r="N12"/>
  <c r="G13"/>
  <c r="H14"/>
  <c r="E11"/>
  <c r="E10" s="1"/>
  <c r="E26" s="1"/>
  <c r="R15"/>
  <c r="N11"/>
  <c r="N10" s="1"/>
  <c r="N26" s="1"/>
  <c r="Q14"/>
  <c r="W14" s="1"/>
  <c r="O12"/>
  <c r="N35"/>
  <c r="V46"/>
  <c r="I13" i="10"/>
  <c r="H8" i="16"/>
  <c r="B57" i="7"/>
  <c r="F11" i="10"/>
  <c r="M12" i="7"/>
  <c r="P15"/>
  <c r="P10" s="1"/>
  <c r="P26" s="1"/>
  <c r="O14"/>
  <c r="M13"/>
  <c r="N14"/>
  <c r="O15"/>
  <c r="L12"/>
  <c r="K11"/>
  <c r="P12"/>
  <c r="O11"/>
  <c r="O10" s="1"/>
  <c r="O26" s="1"/>
  <c r="R14"/>
  <c r="M28"/>
  <c r="K19" i="16"/>
  <c r="AB42" i="7"/>
  <c r="W35"/>
  <c r="K14" i="16"/>
  <c r="H18"/>
  <c r="H13"/>
  <c r="R33" i="7"/>
  <c r="W33" s="1"/>
  <c r="P31"/>
  <c r="P28" s="1"/>
  <c r="Q32"/>
  <c r="M23" i="4"/>
  <c r="F3" i="16"/>
  <c r="S5" i="3" s="1"/>
  <c r="F9" i="10"/>
  <c r="F7" s="1"/>
  <c r="E25" i="16"/>
  <c r="Z82" i="7"/>
  <c r="Y91"/>
  <c r="AA91" s="1"/>
  <c r="AB64"/>
  <c r="R28"/>
  <c r="R112" s="1"/>
  <c r="H28"/>
  <c r="G25" i="16"/>
  <c r="S75" i="3" s="1"/>
  <c r="V57" i="7"/>
  <c r="B82"/>
  <c r="W15"/>
  <c r="K23" i="16"/>
  <c r="L13" i="10" s="1"/>
  <c r="V71" i="7"/>
  <c r="J25" i="16"/>
  <c r="U75" i="3" s="1"/>
  <c r="U73" s="1"/>
  <c r="L20" i="11" s="1"/>
  <c r="K7" i="16"/>
  <c r="L9" i="10" s="1"/>
  <c r="F12" i="11"/>
  <c r="C38" i="19" s="1"/>
  <c r="Q29" i="3"/>
  <c r="B64" i="7"/>
  <c r="V64"/>
  <c r="C20" i="14"/>
  <c r="Q7" i="3"/>
  <c r="F6" i="11" s="1"/>
  <c r="V17" i="7"/>
  <c r="V32"/>
  <c r="B20" i="15"/>
  <c r="Y57" i="7"/>
  <c r="AA57" s="1"/>
  <c r="H21" i="16"/>
  <c r="AB57" i="7"/>
  <c r="AD57" s="1"/>
  <c r="W10"/>
  <c r="W26" s="1"/>
  <c r="F28" i="10" s="1"/>
  <c r="C39" i="19" s="1"/>
  <c r="K28" i="7"/>
  <c r="H14" i="16"/>
  <c r="H7"/>
  <c r="N1" i="2"/>
  <c r="M1"/>
  <c r="L2" i="4"/>
  <c r="M2" i="2"/>
  <c r="M2" i="4"/>
  <c r="L1"/>
  <c r="N2" i="2"/>
  <c r="M1" i="4"/>
  <c r="V30" i="7"/>
  <c r="O28"/>
  <c r="K14"/>
  <c r="H11"/>
  <c r="I12"/>
  <c r="J13"/>
  <c r="L15"/>
  <c r="L10" s="1"/>
  <c r="L26" s="1"/>
  <c r="N12" i="18"/>
  <c r="O12" s="1"/>
  <c r="O16" s="1"/>
  <c r="S11" i="3"/>
  <c r="S7" s="1"/>
  <c r="I6" i="11" s="1"/>
  <c r="J35" i="7"/>
  <c r="V36"/>
  <c r="AB76"/>
  <c r="AC76" s="1"/>
  <c r="AB75"/>
  <c r="AC75" s="1"/>
  <c r="AB72"/>
  <c r="AB74"/>
  <c r="AC74" s="1"/>
  <c r="AB73"/>
  <c r="AC73" s="1"/>
  <c r="K24" i="18"/>
  <c r="L24" s="1"/>
  <c r="D24"/>
  <c r="Y30" i="7"/>
  <c r="Z30" s="1"/>
  <c r="Y33"/>
  <c r="Z33" s="1"/>
  <c r="Y31"/>
  <c r="Z31" s="1"/>
  <c r="Y32"/>
  <c r="Z32" s="1"/>
  <c r="Y29"/>
  <c r="E73" i="3"/>
  <c r="Q73" s="1"/>
  <c r="F20" i="11" s="1"/>
  <c r="Q75" i="3"/>
  <c r="Y45" i="7"/>
  <c r="Z45" s="1"/>
  <c r="Y46"/>
  <c r="Z46" s="1"/>
  <c r="Y47"/>
  <c r="Z47" s="1"/>
  <c r="Y43"/>
  <c r="Y44"/>
  <c r="Z44" s="1"/>
  <c r="E20" i="5"/>
  <c r="B20"/>
  <c r="I9" i="10"/>
  <c r="S50" i="3"/>
  <c r="Y49" i="7"/>
  <c r="U52" i="3"/>
  <c r="AA49" i="7"/>
  <c r="I16" i="11"/>
  <c r="AB78" i="7"/>
  <c r="AD78" s="1"/>
  <c r="U65" i="3"/>
  <c r="L18" i="11" s="1"/>
  <c r="I18"/>
  <c r="Y89" i="7"/>
  <c r="AA89" s="1"/>
  <c r="S56" i="3"/>
  <c r="F42" i="7"/>
  <c r="V43"/>
  <c r="A25" i="15"/>
  <c r="AB39" i="7"/>
  <c r="AC39" s="1"/>
  <c r="AB38"/>
  <c r="AC38" s="1"/>
  <c r="AB36"/>
  <c r="AB40"/>
  <c r="AC40" s="1"/>
  <c r="AB37"/>
  <c r="AC37" s="1"/>
  <c r="D21" i="15"/>
  <c r="B21" s="1"/>
  <c r="A31" i="5"/>
  <c r="A31" i="14"/>
  <c r="V44" i="7"/>
  <c r="K35"/>
  <c r="V47"/>
  <c r="I42"/>
  <c r="AC42"/>
  <c r="V40"/>
  <c r="L11" i="10"/>
  <c r="L7" s="1"/>
  <c r="K22" i="18"/>
  <c r="L22" s="1"/>
  <c r="D22"/>
  <c r="N28" i="7"/>
  <c r="V29"/>
  <c r="H13"/>
  <c r="I14"/>
  <c r="G12"/>
  <c r="J15"/>
  <c r="F11"/>
  <c r="Q12" i="18"/>
  <c r="R12" s="1"/>
  <c r="R16" s="1"/>
  <c r="U11" i="3"/>
  <c r="U7" s="1"/>
  <c r="L6" i="11" s="1"/>
  <c r="K12" i="18"/>
  <c r="L12" s="1"/>
  <c r="L16" s="1"/>
  <c r="J12"/>
  <c r="J16" s="1"/>
  <c r="J31" s="1"/>
  <c r="U31" i="3"/>
  <c r="Q26" i="18"/>
  <c r="R26" s="1"/>
  <c r="AB93" i="7"/>
  <c r="AC93" s="1"/>
  <c r="AB95"/>
  <c r="AC95" s="1"/>
  <c r="AB92"/>
  <c r="AB96"/>
  <c r="AC96" s="1"/>
  <c r="AB94"/>
  <c r="AC94" s="1"/>
  <c r="Q25" i="3"/>
  <c r="L8" i="18"/>
  <c r="L18" s="1"/>
  <c r="Y37" i="7"/>
  <c r="Z37" s="1"/>
  <c r="Y40"/>
  <c r="Z40" s="1"/>
  <c r="Y39"/>
  <c r="Z39" s="1"/>
  <c r="Y38"/>
  <c r="Z38" s="1"/>
  <c r="Y36"/>
  <c r="N24" i="18"/>
  <c r="O24" s="1"/>
  <c r="O28" s="1"/>
  <c r="S48" i="3"/>
  <c r="I12" i="11"/>
  <c r="F38" i="19" s="1"/>
  <c r="Y82" i="7"/>
  <c r="AA82" s="1"/>
  <c r="V45"/>
  <c r="J42"/>
  <c r="AB82"/>
  <c r="AD82" s="1"/>
  <c r="U56" i="3"/>
  <c r="Q24" i="18" s="1"/>
  <c r="R24" s="1"/>
  <c r="R28" s="1"/>
  <c r="AC64" i="7"/>
  <c r="AD64" s="1"/>
  <c r="V15" l="1"/>
  <c r="K25" i="16"/>
  <c r="V31" i="7"/>
  <c r="R10"/>
  <c r="R26" s="1"/>
  <c r="B2" i="14"/>
  <c r="L5" i="10"/>
  <c r="I42"/>
  <c r="F6" i="19"/>
  <c r="I61" s="1"/>
  <c r="V13" i="7"/>
  <c r="AD42"/>
  <c r="K10"/>
  <c r="K26" s="1"/>
  <c r="I11" i="10"/>
  <c r="I7" s="1"/>
  <c r="V14" i="7"/>
  <c r="Q10"/>
  <c r="Q26" s="1"/>
  <c r="Y24" s="1"/>
  <c r="H25" i="16"/>
  <c r="Y42" i="7"/>
  <c r="Y28"/>
  <c r="G34" i="11"/>
  <c r="G16"/>
  <c r="G6"/>
  <c r="G22"/>
  <c r="G12"/>
  <c r="G38"/>
  <c r="G10"/>
  <c r="G8"/>
  <c r="G18"/>
  <c r="G30"/>
  <c r="G14"/>
  <c r="G24"/>
  <c r="G26"/>
  <c r="G36"/>
  <c r="O8" i="18"/>
  <c r="O18" s="1"/>
  <c r="S25" i="3"/>
  <c r="W32" i="7"/>
  <c r="W28" s="1"/>
  <c r="Q28"/>
  <c r="U9" i="3"/>
  <c r="AB12" i="7" s="1"/>
  <c r="AC12" s="1"/>
  <c r="AC71"/>
  <c r="S73" i="3"/>
  <c r="I20" i="11"/>
  <c r="G17" i="10"/>
  <c r="G11"/>
  <c r="C30" i="19"/>
  <c r="G19" i="10"/>
  <c r="G15"/>
  <c r="G9"/>
  <c r="G13"/>
  <c r="D20" i="14"/>
  <c r="E20" s="1"/>
  <c r="L12" i="11"/>
  <c r="I38" i="19" s="1"/>
  <c r="U48" i="3"/>
  <c r="M18" i="11"/>
  <c r="M14"/>
  <c r="M34"/>
  <c r="M24"/>
  <c r="M30"/>
  <c r="M26"/>
  <c r="M36"/>
  <c r="I56" i="19"/>
  <c r="M38" i="11"/>
  <c r="M22"/>
  <c r="M20"/>
  <c r="M10"/>
  <c r="M6"/>
  <c r="M8"/>
  <c r="F10" i="7"/>
  <c r="V11"/>
  <c r="V12"/>
  <c r="G10"/>
  <c r="G26" s="1"/>
  <c r="V28"/>
  <c r="B28"/>
  <c r="M9" i="10"/>
  <c r="M17"/>
  <c r="M19"/>
  <c r="M15"/>
  <c r="I30" i="19"/>
  <c r="M11" i="10"/>
  <c r="M13"/>
  <c r="A32" i="14"/>
  <c r="E21" i="15"/>
  <c r="A26"/>
  <c r="B42" i="7"/>
  <c r="V42"/>
  <c r="AB89"/>
  <c r="AD89" s="1"/>
  <c r="AB49"/>
  <c r="AD49" s="1"/>
  <c r="L16" i="11"/>
  <c r="L28" s="1"/>
  <c r="U50" i="3"/>
  <c r="F20" i="5"/>
  <c r="C21" s="1"/>
  <c r="G20" i="11"/>
  <c r="F28"/>
  <c r="Y35" i="7"/>
  <c r="Z35"/>
  <c r="AB91"/>
  <c r="AC91"/>
  <c r="AC35"/>
  <c r="AB35"/>
  <c r="AD35" s="1"/>
  <c r="Z42"/>
  <c r="AA42" s="1"/>
  <c r="V35"/>
  <c r="D28" i="18"/>
  <c r="D31" s="1"/>
  <c r="S9" i="3"/>
  <c r="O31" i="18"/>
  <c r="AB108" i="7" s="1"/>
  <c r="J10"/>
  <c r="J26" s="1"/>
  <c r="H10"/>
  <c r="H26" s="1"/>
  <c r="AB13"/>
  <c r="AC13" s="1"/>
  <c r="AB14"/>
  <c r="AC14" s="1"/>
  <c r="AB11"/>
  <c r="A32" i="5"/>
  <c r="E100" i="7"/>
  <c r="J6" i="11"/>
  <c r="J8"/>
  <c r="J12"/>
  <c r="J38"/>
  <c r="J22"/>
  <c r="J18"/>
  <c r="J24"/>
  <c r="J16"/>
  <c r="F56" i="19"/>
  <c r="J10" i="11"/>
  <c r="J34"/>
  <c r="J26"/>
  <c r="I28"/>
  <c r="J28" s="1"/>
  <c r="J36"/>
  <c r="J14"/>
  <c r="J30"/>
  <c r="J20"/>
  <c r="R31" i="18"/>
  <c r="U29" i="3"/>
  <c r="B35" i="7"/>
  <c r="Z28"/>
  <c r="L28" i="18"/>
  <c r="L31" s="1"/>
  <c r="Y108" i="7" s="1"/>
  <c r="AB71"/>
  <c r="I10"/>
  <c r="I26" s="1"/>
  <c r="J17" i="10" l="1"/>
  <c r="J15"/>
  <c r="J11"/>
  <c r="F30" i="19"/>
  <c r="J9" i="10"/>
  <c r="J19"/>
  <c r="J13"/>
  <c r="I6" i="19"/>
  <c r="I71" s="1"/>
  <c r="B2" i="15"/>
  <c r="L42" i="10"/>
  <c r="AD71" i="7"/>
  <c r="B20" i="14"/>
  <c r="F20"/>
  <c r="C21" s="1"/>
  <c r="F100" i="10"/>
  <c r="C40" i="19" s="1"/>
  <c r="Q112" i="7"/>
  <c r="Y102" s="1"/>
  <c r="AB15"/>
  <c r="AC15" s="1"/>
  <c r="AC10" s="1"/>
  <c r="AC26" s="1"/>
  <c r="L28" i="10" s="1"/>
  <c r="M12" i="11"/>
  <c r="I45" i="19"/>
  <c r="M28" i="11"/>
  <c r="I100" i="10"/>
  <c r="AB31" i="7"/>
  <c r="AC31" s="1"/>
  <c r="AB32"/>
  <c r="AC32" s="1"/>
  <c r="AB33"/>
  <c r="AC33" s="1"/>
  <c r="AB30"/>
  <c r="AC30" s="1"/>
  <c r="AB29"/>
  <c r="F21" i="15"/>
  <c r="C22" s="1"/>
  <c r="F26" i="7"/>
  <c r="B10"/>
  <c r="V10"/>
  <c r="AD91"/>
  <c r="AA35"/>
  <c r="M16" i="11"/>
  <c r="AA28" i="7"/>
  <c r="F45" i="19"/>
  <c r="E112" i="7"/>
  <c r="E114" s="1"/>
  <c r="E116" s="1"/>
  <c r="A33" i="5"/>
  <c r="Y15" i="7"/>
  <c r="Z15" s="1"/>
  <c r="Y14"/>
  <c r="Z14" s="1"/>
  <c r="Y12"/>
  <c r="Z12" s="1"/>
  <c r="Y13"/>
  <c r="Z13" s="1"/>
  <c r="Y11"/>
  <c r="G28" i="11"/>
  <c r="C45" i="19"/>
  <c r="D21" i="5"/>
  <c r="B21" s="1"/>
  <c r="E71" i="3"/>
  <c r="A27" i="15"/>
  <c r="A33" i="14"/>
  <c r="AC28" i="7" l="1"/>
  <c r="D21" i="14"/>
  <c r="E21" s="1"/>
  <c r="Y10" i="7"/>
  <c r="Z10"/>
  <c r="Z26" s="1"/>
  <c r="I28" i="10" s="1"/>
  <c r="AB10" i="7"/>
  <c r="AD10" s="1"/>
  <c r="A28" i="15"/>
  <c r="F100" i="7"/>
  <c r="V26"/>
  <c r="D22" i="15"/>
  <c r="F40" i="19"/>
  <c r="AB28" i="7"/>
  <c r="A34" i="14"/>
  <c r="E69" i="3"/>
  <c r="AB24" i="7"/>
  <c r="A34" i="5"/>
  <c r="I39" i="19"/>
  <c r="E21" i="5"/>
  <c r="L100" i="10"/>
  <c r="AA10" i="7" l="1"/>
  <c r="F21" i="14"/>
  <c r="C22" s="1"/>
  <c r="B21"/>
  <c r="I40" i="19"/>
  <c r="A35" i="14"/>
  <c r="AD28" i="7"/>
  <c r="E22" i="15"/>
  <c r="F112" i="7"/>
  <c r="F114" s="1"/>
  <c r="F116" s="1"/>
  <c r="A29" i="15"/>
  <c r="F21" i="5"/>
  <c r="C22" s="1"/>
  <c r="A35"/>
  <c r="F39" i="19"/>
  <c r="E27" i="3"/>
  <c r="B22" i="15"/>
  <c r="D22" i="14" l="1"/>
  <c r="E22" s="1"/>
  <c r="F22" s="1"/>
  <c r="C23" s="1"/>
  <c r="A36" i="5"/>
  <c r="D22"/>
  <c r="B22" s="1"/>
  <c r="F71" i="3"/>
  <c r="F22" i="15"/>
  <c r="C23" s="1"/>
  <c r="A30"/>
  <c r="A36" i="14"/>
  <c r="B22" l="1"/>
  <c r="D23"/>
  <c r="E23" s="1"/>
  <c r="A31" i="15"/>
  <c r="D23"/>
  <c r="B23" s="1"/>
  <c r="G100" i="7"/>
  <c r="E22" i="5"/>
  <c r="A37"/>
  <c r="A37" i="14"/>
  <c r="F23"/>
  <c r="C24" s="1"/>
  <c r="F69" i="3"/>
  <c r="B23" i="14" l="1"/>
  <c r="D24"/>
  <c r="B24" s="1"/>
  <c r="A32" i="15"/>
  <c r="F27" i="3"/>
  <c r="A38" i="14"/>
  <c r="A38" i="5"/>
  <c r="F22"/>
  <c r="C23" s="1"/>
  <c r="G112" i="7"/>
  <c r="G114" s="1"/>
  <c r="G116" s="1"/>
  <c r="E23" i="15"/>
  <c r="F23" l="1"/>
  <c r="C24" s="1"/>
  <c r="A39" i="5"/>
  <c r="G71" i="3"/>
  <c r="D23" i="5"/>
  <c r="A39" i="14"/>
  <c r="A33" i="15"/>
  <c r="E24" i="14"/>
  <c r="F24" l="1"/>
  <c r="C25" s="1"/>
  <c r="A34" i="15"/>
  <c r="A40" i="14"/>
  <c r="E23" i="5"/>
  <c r="A40"/>
  <c r="D24" i="15"/>
  <c r="G69" i="3"/>
  <c r="B23" i="5"/>
  <c r="H100" i="7" l="1"/>
  <c r="E24" i="15"/>
  <c r="F23" i="5"/>
  <c r="C24" s="1"/>
  <c r="A41" i="14"/>
  <c r="A35" i="15"/>
  <c r="D25" i="14"/>
  <c r="B25" s="1"/>
  <c r="G27" i="3"/>
  <c r="A41" i="5"/>
  <c r="B24" i="15"/>
  <c r="A36" l="1"/>
  <c r="A42" i="14"/>
  <c r="H71" i="3"/>
  <c r="D24" i="5"/>
  <c r="B24" s="1"/>
  <c r="H112" i="7"/>
  <c r="H114" s="1"/>
  <c r="H116" s="1"/>
  <c r="A42" i="5"/>
  <c r="E25" i="14"/>
  <c r="F24" i="15"/>
  <c r="C25" s="1"/>
  <c r="D25" l="1"/>
  <c r="B25" s="1"/>
  <c r="A43" i="5"/>
  <c r="E24"/>
  <c r="H69" i="3"/>
  <c r="A43" i="14"/>
  <c r="F25"/>
  <c r="C26" s="1"/>
  <c r="I100" i="7"/>
  <c r="A37" i="15"/>
  <c r="A44" i="14" l="1"/>
  <c r="H27" i="3"/>
  <c r="A44" i="5"/>
  <c r="A38" i="15"/>
  <c r="I112" i="7"/>
  <c r="I114" s="1"/>
  <c r="I116" s="1"/>
  <c r="D26" i="14"/>
  <c r="B26" s="1"/>
  <c r="F24" i="5"/>
  <c r="C25" s="1"/>
  <c r="E25" i="15"/>
  <c r="F25" l="1"/>
  <c r="C26" s="1"/>
  <c r="A39"/>
  <c r="A45" i="14"/>
  <c r="I71" i="3"/>
  <c r="B25" i="5"/>
  <c r="J100" i="7" s="1"/>
  <c r="J112" s="1"/>
  <c r="J114" s="1"/>
  <c r="J116" s="1"/>
  <c r="D25" i="5"/>
  <c r="E25" s="1"/>
  <c r="E26" i="14"/>
  <c r="A45" i="5"/>
  <c r="A46" i="14" l="1"/>
  <c r="A40" i="15"/>
  <c r="D26"/>
  <c r="E26" s="1"/>
  <c r="A46" i="5"/>
  <c r="F26" i="14"/>
  <c r="C27" s="1"/>
  <c r="F25" i="5"/>
  <c r="C26" s="1"/>
  <c r="I69" i="3"/>
  <c r="D26" i="5" l="1"/>
  <c r="E26" s="1"/>
  <c r="J71" i="3"/>
  <c r="J69" s="1"/>
  <c r="J27" s="1"/>
  <c r="B26" i="5"/>
  <c r="K100" i="7" s="1"/>
  <c r="K112" s="1"/>
  <c r="K114" s="1"/>
  <c r="K116" s="1"/>
  <c r="F26" i="15"/>
  <c r="C27" s="1"/>
  <c r="I27" i="3"/>
  <c r="D27" i="14"/>
  <c r="E27" s="1"/>
  <c r="A47" i="5"/>
  <c r="A41" i="15"/>
  <c r="A47" i="14"/>
  <c r="B26" i="15"/>
  <c r="A42" l="1"/>
  <c r="F27" i="14"/>
  <c r="C28" s="1"/>
  <c r="F26" i="5"/>
  <c r="C27" s="1"/>
  <c r="A48" i="14"/>
  <c r="A48" i="5"/>
  <c r="D27" i="15"/>
  <c r="E27" s="1"/>
  <c r="B27" i="14"/>
  <c r="A43" i="15" l="1"/>
  <c r="B27"/>
  <c r="F27"/>
  <c r="C28" s="1"/>
  <c r="A49" i="5"/>
  <c r="A49" i="14"/>
  <c r="K71" i="3"/>
  <c r="K69" s="1"/>
  <c r="K27" s="1"/>
  <c r="D27" i="5"/>
  <c r="E27" s="1"/>
  <c r="D28" i="14"/>
  <c r="E28" s="1"/>
  <c r="F27" i="5" l="1"/>
  <c r="C28" s="1"/>
  <c r="A44" i="15"/>
  <c r="B28" i="14"/>
  <c r="B27" i="5"/>
  <c r="L100" i="7" s="1"/>
  <c r="L112" s="1"/>
  <c r="L114" s="1"/>
  <c r="L116" s="1"/>
  <c r="F28" i="14"/>
  <c r="C29" s="1"/>
  <c r="A50"/>
  <c r="A50" i="5"/>
  <c r="D28" i="15"/>
  <c r="E28" s="1"/>
  <c r="B28" l="1"/>
  <c r="F28"/>
  <c r="C29" s="1"/>
  <c r="A51" i="5"/>
  <c r="A51" i="14"/>
  <c r="A45" i="15"/>
  <c r="D28" i="5"/>
  <c r="E28" s="1"/>
  <c r="L71" i="3"/>
  <c r="L69" s="1"/>
  <c r="L27" s="1"/>
  <c r="D29" i="14"/>
  <c r="E29" s="1"/>
  <c r="B28" i="5" l="1"/>
  <c r="M100" i="7" s="1"/>
  <c r="M112" s="1"/>
  <c r="M114" s="1"/>
  <c r="M116" s="1"/>
  <c r="F28" i="5"/>
  <c r="C29" s="1"/>
  <c r="A46" i="15"/>
  <c r="A52" i="14"/>
  <c r="A52" i="5"/>
  <c r="D29" i="15"/>
  <c r="E29" s="1"/>
  <c r="F29" i="14"/>
  <c r="C30" s="1"/>
  <c r="B29"/>
  <c r="D30" l="1"/>
  <c r="E30" s="1"/>
  <c r="B29" i="15"/>
  <c r="F29"/>
  <c r="C30" s="1"/>
  <c r="A53" i="5"/>
  <c r="A53" i="14"/>
  <c r="A47" i="15"/>
  <c r="M71" i="3"/>
  <c r="M69" s="1"/>
  <c r="M27" s="1"/>
  <c r="D29" i="5"/>
  <c r="E29" s="1"/>
  <c r="B29"/>
  <c r="N100" i="7" s="1"/>
  <c r="N112" s="1"/>
  <c r="N114" s="1"/>
  <c r="N116" s="1"/>
  <c r="B30" i="14" l="1"/>
  <c r="F29" i="5"/>
  <c r="C30" s="1"/>
  <c r="F30" i="14"/>
  <c r="C31" s="1"/>
  <c r="A48" i="15"/>
  <c r="A54" i="14"/>
  <c r="A54" i="5"/>
  <c r="D30" i="15"/>
  <c r="E30" s="1"/>
  <c r="B30" l="1"/>
  <c r="A55" i="5"/>
  <c r="A55" i="14"/>
  <c r="A49" i="15"/>
  <c r="D31" i="14"/>
  <c r="E31" s="1"/>
  <c r="N71" i="3"/>
  <c r="N69" s="1"/>
  <c r="N27" s="1"/>
  <c r="D30" i="5"/>
  <c r="E30" s="1"/>
  <c r="F30" i="15"/>
  <c r="C31" s="1"/>
  <c r="B31" i="14" l="1"/>
  <c r="B30" i="5"/>
  <c r="O100" i="7" s="1"/>
  <c r="O112" s="1"/>
  <c r="O114" s="1"/>
  <c r="O116" s="1"/>
  <c r="F31" i="14"/>
  <c r="C32" s="1"/>
  <c r="A56"/>
  <c r="A56" i="5"/>
  <c r="D31" i="15"/>
  <c r="E31" s="1"/>
  <c r="F30" i="5"/>
  <c r="C31" s="1"/>
  <c r="A50" i="15"/>
  <c r="B31" l="1"/>
  <c r="A57" i="5"/>
  <c r="A57" i="14"/>
  <c r="D32"/>
  <c r="E32" s="1"/>
  <c r="A51" i="15"/>
  <c r="O71" i="3"/>
  <c r="D31" i="5"/>
  <c r="E31" s="1"/>
  <c r="F31" i="15"/>
  <c r="C32" s="1"/>
  <c r="B32" i="14" l="1"/>
  <c r="O69" i="3"/>
  <c r="Q71"/>
  <c r="F32" i="11" s="1"/>
  <c r="A52" i="15"/>
  <c r="F32" i="14"/>
  <c r="C33" s="1"/>
  <c r="A58"/>
  <c r="A58" i="5"/>
  <c r="B31"/>
  <c r="P100" i="7" s="1"/>
  <c r="D32" i="15"/>
  <c r="E32" s="1"/>
  <c r="C25" i="19"/>
  <c r="F31" i="5"/>
  <c r="C32" s="1"/>
  <c r="B32" i="15" l="1"/>
  <c r="D32" i="5"/>
  <c r="B32"/>
  <c r="F32" i="15"/>
  <c r="C33" s="1"/>
  <c r="P112" i="7"/>
  <c r="P114" s="1"/>
  <c r="P116" s="1"/>
  <c r="Y8" s="1"/>
  <c r="Y26" s="1"/>
  <c r="V100"/>
  <c r="V112" s="1"/>
  <c r="V114" s="1"/>
  <c r="A59" i="5"/>
  <c r="A59" i="14"/>
  <c r="D33"/>
  <c r="E33" s="1"/>
  <c r="O27" i="3"/>
  <c r="Q27" s="1"/>
  <c r="Q69"/>
  <c r="A53" i="15"/>
  <c r="G32" i="11"/>
  <c r="F40"/>
  <c r="C24" i="19"/>
  <c r="B33" i="14" l="1"/>
  <c r="G40" i="11"/>
  <c r="F42"/>
  <c r="A54" i="15"/>
  <c r="F38" i="10"/>
  <c r="J25" i="4" s="1"/>
  <c r="B114" i="7"/>
  <c r="F33" i="14"/>
  <c r="C34" s="1"/>
  <c r="A60"/>
  <c r="A60" i="5"/>
  <c r="D33" i="15"/>
  <c r="E33" s="1"/>
  <c r="E32" i="5"/>
  <c r="F32" l="1"/>
  <c r="C33" s="1"/>
  <c r="A55" i="15"/>
  <c r="B33"/>
  <c r="F33"/>
  <c r="C34" s="1"/>
  <c r="A61" i="5"/>
  <c r="A61" i="14"/>
  <c r="D34"/>
  <c r="E34" s="1"/>
  <c r="F44" i="11"/>
  <c r="F46" s="1"/>
  <c r="F7" i="17"/>
  <c r="G42" i="11"/>
  <c r="B34" i="14" l="1"/>
  <c r="C51" i="19"/>
  <c r="C52" s="1"/>
  <c r="D5" i="12"/>
  <c r="F61" i="10"/>
  <c r="F46" s="1"/>
  <c r="C49" i="19"/>
  <c r="G46" i="11"/>
  <c r="F34" i="14"/>
  <c r="C35" s="1"/>
  <c r="A56" i="15"/>
  <c r="D33" i="5"/>
  <c r="B33" s="1"/>
  <c r="F9" i="17"/>
  <c r="G44" i="11"/>
  <c r="A62" i="14"/>
  <c r="A62" i="5"/>
  <c r="D34" i="15"/>
  <c r="E34" s="1"/>
  <c r="B34" l="1"/>
  <c r="F34"/>
  <c r="C35" s="1"/>
  <c r="E33" i="5"/>
  <c r="A57" i="15"/>
  <c r="D35" i="14"/>
  <c r="E35" s="1"/>
  <c r="A63" i="5"/>
  <c r="A63" i="14"/>
  <c r="F13" i="17"/>
  <c r="W110" i="7" s="1"/>
  <c r="F11" i="17"/>
  <c r="G53" i="10"/>
  <c r="G47"/>
  <c r="G63"/>
  <c r="G65"/>
  <c r="F44"/>
  <c r="G59"/>
  <c r="G51"/>
  <c r="G55"/>
  <c r="G61"/>
  <c r="G57"/>
  <c r="C22" i="12"/>
  <c r="E22" s="1"/>
  <c r="F22" s="1"/>
  <c r="D13"/>
  <c r="I57" i="10" s="1"/>
  <c r="B35" i="14" l="1"/>
  <c r="G46" i="10"/>
  <c r="G67"/>
  <c r="G69"/>
  <c r="C47" i="19"/>
  <c r="F101" i="10"/>
  <c r="F99" s="1"/>
  <c r="Y110" i="7"/>
  <c r="W112"/>
  <c r="A64" i="14"/>
  <c r="A64" i="5"/>
  <c r="A58" i="15"/>
  <c r="D35"/>
  <c r="E35" s="1"/>
  <c r="D7" i="12"/>
  <c r="E7" s="1"/>
  <c r="F30" i="10"/>
  <c r="F27" s="1"/>
  <c r="F15" i="17"/>
  <c r="F35" i="14"/>
  <c r="C36" s="1"/>
  <c r="F33" i="5"/>
  <c r="C34" s="1"/>
  <c r="I53" i="10"/>
  <c r="D34" i="5" l="1"/>
  <c r="B34" s="1"/>
  <c r="G30" i="10"/>
  <c r="F21"/>
  <c r="G28"/>
  <c r="G29"/>
  <c r="A59" i="15"/>
  <c r="A65" i="5"/>
  <c r="A65" i="14"/>
  <c r="B35" i="15"/>
  <c r="D36" i="14"/>
  <c r="E36" s="1"/>
  <c r="F35" i="15"/>
  <c r="C36" s="1"/>
  <c r="G101" i="10"/>
  <c r="G100"/>
  <c r="D36" i="15" l="1"/>
  <c r="E36" s="1"/>
  <c r="C31" i="19"/>
  <c r="G25" i="10"/>
  <c r="G34"/>
  <c r="G27"/>
  <c r="G32"/>
  <c r="G38"/>
  <c r="G36"/>
  <c r="F39"/>
  <c r="G23"/>
  <c r="E34" i="5"/>
  <c r="B36" i="14"/>
  <c r="F36"/>
  <c r="C37" s="1"/>
  <c r="A66"/>
  <c r="A66" i="5"/>
  <c r="A60" i="15"/>
  <c r="G7" i="10" l="1"/>
  <c r="G40"/>
  <c r="G21"/>
  <c r="F36" i="15"/>
  <c r="C37" s="1"/>
  <c r="A61"/>
  <c r="A67" i="5"/>
  <c r="A67" i="14"/>
  <c r="D37"/>
  <c r="E37" s="1"/>
  <c r="F34" i="5"/>
  <c r="C35" s="1"/>
  <c r="B36" i="15"/>
  <c r="F37" i="14" l="1"/>
  <c r="C38" s="1"/>
  <c r="B37"/>
  <c r="D35" i="5"/>
  <c r="B35" s="1"/>
  <c r="A68" i="14"/>
  <c r="A68" i="5"/>
  <c r="A62" i="15"/>
  <c r="D37"/>
  <c r="E37" s="1"/>
  <c r="B37" l="1"/>
  <c r="F37"/>
  <c r="C38" s="1"/>
  <c r="A63"/>
  <c r="A69" i="5"/>
  <c r="A69" i="14"/>
  <c r="D38"/>
  <c r="E38" s="1"/>
  <c r="E35" i="5"/>
  <c r="A70" i="14" l="1"/>
  <c r="A70" i="5"/>
  <c r="A64" i="15"/>
  <c r="D38"/>
  <c r="E38" s="1"/>
  <c r="B38" i="14"/>
  <c r="F35" i="5"/>
  <c r="C36" s="1"/>
  <c r="F38" i="14"/>
  <c r="C39" s="1"/>
  <c r="D36" i="5" l="1"/>
  <c r="B36" s="1"/>
  <c r="A65" i="15"/>
  <c r="A71" i="5"/>
  <c r="A71" i="14"/>
  <c r="B38" i="15"/>
  <c r="D39" i="14"/>
  <c r="E39" s="1"/>
  <c r="F38" i="15"/>
  <c r="C39" s="1"/>
  <c r="D39" l="1"/>
  <c r="E39" s="1"/>
  <c r="E36" i="5"/>
  <c r="F39" i="14"/>
  <c r="C40" s="1"/>
  <c r="A72"/>
  <c r="A72" i="5"/>
  <c r="A66" i="15"/>
  <c r="B39" i="14"/>
  <c r="A73" i="5" l="1"/>
  <c r="A73" i="14"/>
  <c r="D40"/>
  <c r="E40" s="1"/>
  <c r="B39" i="15"/>
  <c r="A67"/>
  <c r="F36" i="5"/>
  <c r="C37" s="1"/>
  <c r="F39" i="15"/>
  <c r="C40" s="1"/>
  <c r="B40" i="14" l="1"/>
  <c r="D40" i="15"/>
  <c r="E40" s="1"/>
  <c r="F40" i="14"/>
  <c r="C41" s="1"/>
  <c r="A74"/>
  <c r="A74" i="5"/>
  <c r="D37"/>
  <c r="E37" s="1"/>
  <c r="A68" i="15"/>
  <c r="A69" l="1"/>
  <c r="F37" i="5"/>
  <c r="C38" s="1"/>
  <c r="A75"/>
  <c r="A75" i="14"/>
  <c r="D41"/>
  <c r="E41" s="1"/>
  <c r="B40" i="15"/>
  <c r="F40"/>
  <c r="C41" s="1"/>
  <c r="B37" i="5"/>
  <c r="F41" i="14" l="1"/>
  <c r="C42" s="1"/>
  <c r="A76"/>
  <c r="A76" i="5"/>
  <c r="D38"/>
  <c r="E38" s="1"/>
  <c r="A70" i="15"/>
  <c r="D41"/>
  <c r="E41" s="1"/>
  <c r="B41" i="14"/>
  <c r="B41" i="15" l="1"/>
  <c r="A71"/>
  <c r="F38" i="5"/>
  <c r="C39" s="1"/>
  <c r="A77"/>
  <c r="A77" i="14"/>
  <c r="D42"/>
  <c r="E42" s="1"/>
  <c r="F41" i="15"/>
  <c r="C42" s="1"/>
  <c r="B38" i="5"/>
  <c r="B42" i="14" l="1"/>
  <c r="A78"/>
  <c r="A78" i="5"/>
  <c r="D39"/>
  <c r="E39" s="1"/>
  <c r="B39"/>
  <c r="A72" i="15"/>
  <c r="D42"/>
  <c r="E42" s="1"/>
  <c r="F42" i="14"/>
  <c r="C43" s="1"/>
  <c r="D43" l="1"/>
  <c r="E43" s="1"/>
  <c r="A73" i="15"/>
  <c r="F39" i="5"/>
  <c r="C40" s="1"/>
  <c r="A79"/>
  <c r="A79" i="14"/>
  <c r="B42" i="15"/>
  <c r="F42"/>
  <c r="C43" s="1"/>
  <c r="A80" i="14" l="1"/>
  <c r="A80" i="5"/>
  <c r="D40"/>
  <c r="E40" s="1"/>
  <c r="A74" i="15"/>
  <c r="F43" i="14"/>
  <c r="C44" s="1"/>
  <c r="D43" i="15"/>
  <c r="E43" s="1"/>
  <c r="B43" i="14"/>
  <c r="B43" i="15" l="1"/>
  <c r="B40" i="5"/>
  <c r="D44" i="14"/>
  <c r="E44" s="1"/>
  <c r="A75" i="15"/>
  <c r="F40" i="5"/>
  <c r="C41" s="1"/>
  <c r="A81"/>
  <c r="A81" i="14"/>
  <c r="F43" i="15"/>
  <c r="C44" s="1"/>
  <c r="D44" l="1"/>
  <c r="E44" s="1"/>
  <c r="A82" i="14"/>
  <c r="A82" i="5"/>
  <c r="D41"/>
  <c r="E41" s="1"/>
  <c r="A76" i="15"/>
  <c r="F44" i="14"/>
  <c r="C45" s="1"/>
  <c r="B44"/>
  <c r="D45" l="1"/>
  <c r="E45" s="1"/>
  <c r="A77" i="15"/>
  <c r="F41" i="5"/>
  <c r="C42" s="1"/>
  <c r="A83"/>
  <c r="A83" i="14"/>
  <c r="F44" i="15"/>
  <c r="C45" s="1"/>
  <c r="B41" i="5"/>
  <c r="B44" i="15"/>
  <c r="D45" l="1"/>
  <c r="E45" s="1"/>
  <c r="A84" i="14"/>
  <c r="A84" i="5"/>
  <c r="D42"/>
  <c r="E42" s="1"/>
  <c r="B42"/>
  <c r="A78" i="15"/>
  <c r="B45" i="14"/>
  <c r="F45"/>
  <c r="C46" s="1"/>
  <c r="A79" i="15" l="1"/>
  <c r="F42" i="5"/>
  <c r="C43" s="1"/>
  <c r="A85"/>
  <c r="A85" i="14"/>
  <c r="F45" i="15"/>
  <c r="C46" s="1"/>
  <c r="D46" i="14"/>
  <c r="E46" s="1"/>
  <c r="B45" i="15"/>
  <c r="B46" i="14" l="1"/>
  <c r="D46" i="15"/>
  <c r="E46" s="1"/>
  <c r="A86" i="14"/>
  <c r="A86" i="5"/>
  <c r="D43"/>
  <c r="B43" s="1"/>
  <c r="Y100" i="7" s="1"/>
  <c r="Y112" s="1"/>
  <c r="Y114" s="1"/>
  <c r="S71" i="3"/>
  <c r="A80" i="15"/>
  <c r="F46" i="14"/>
  <c r="C47" s="1"/>
  <c r="AB8" i="7" l="1"/>
  <c r="AB26" s="1"/>
  <c r="I38" i="10"/>
  <c r="M25" i="4" s="1"/>
  <c r="I32" i="11"/>
  <c r="S69" i="3"/>
  <c r="S27" s="1"/>
  <c r="A87" i="5"/>
  <c r="A87" i="14"/>
  <c r="B46" i="15"/>
  <c r="D47" i="14"/>
  <c r="E47" s="1"/>
  <c r="F80" i="15"/>
  <c r="B80"/>
  <c r="E80"/>
  <c r="C80"/>
  <c r="A81"/>
  <c r="D80"/>
  <c r="F76" i="10"/>
  <c r="F93"/>
  <c r="F92" s="1"/>
  <c r="E43" i="5"/>
  <c r="F46" i="15"/>
  <c r="C47" s="1"/>
  <c r="D47" l="1"/>
  <c r="E47" s="1"/>
  <c r="G95" i="10"/>
  <c r="F86"/>
  <c r="G94"/>
  <c r="G93"/>
  <c r="F47" i="14"/>
  <c r="C48" s="1"/>
  <c r="A88"/>
  <c r="A88" i="5"/>
  <c r="I40" i="11"/>
  <c r="F24" i="19"/>
  <c r="J32" i="11"/>
  <c r="F25" i="19"/>
  <c r="F43" i="5"/>
  <c r="C44" s="1"/>
  <c r="F75" i="10"/>
  <c r="C50" i="19"/>
  <c r="A82" i="15"/>
  <c r="F81"/>
  <c r="B81"/>
  <c r="D81"/>
  <c r="E81"/>
  <c r="C81"/>
  <c r="B47" i="14"/>
  <c r="B47" i="15" l="1"/>
  <c r="E82"/>
  <c r="B82"/>
  <c r="A83"/>
  <c r="D82"/>
  <c r="F82"/>
  <c r="C82"/>
  <c r="G77" i="10"/>
  <c r="F71"/>
  <c r="G76"/>
  <c r="G78"/>
  <c r="D44" i="5"/>
  <c r="B44"/>
  <c r="J40" i="11"/>
  <c r="I42"/>
  <c r="A89" i="5"/>
  <c r="A89" i="14"/>
  <c r="D48"/>
  <c r="E48" s="1"/>
  <c r="G103" i="10"/>
  <c r="G88"/>
  <c r="G97"/>
  <c r="G90"/>
  <c r="C14" i="19"/>
  <c r="G99" i="10"/>
  <c r="G92"/>
  <c r="C13" i="19"/>
  <c r="C15"/>
  <c r="C9"/>
  <c r="F47" i="15"/>
  <c r="C48" s="1"/>
  <c r="C37" i="19" l="1"/>
  <c r="C16"/>
  <c r="F48" i="14"/>
  <c r="C49" s="1"/>
  <c r="I7" i="17"/>
  <c r="I44" i="11"/>
  <c r="I46" s="1"/>
  <c r="J42"/>
  <c r="F83" i="15"/>
  <c r="C83"/>
  <c r="B83"/>
  <c r="A84"/>
  <c r="E83"/>
  <c r="D83"/>
  <c r="D48"/>
  <c r="E48" s="1"/>
  <c r="A90" i="14"/>
  <c r="A90" i="5"/>
  <c r="E44"/>
  <c r="G73" i="10"/>
  <c r="G82"/>
  <c r="C22" i="19"/>
  <c r="G84" i="10"/>
  <c r="G80"/>
  <c r="G75"/>
  <c r="C23" i="19"/>
  <c r="F105" i="10"/>
  <c r="B48" i="14"/>
  <c r="B48" i="15" l="1"/>
  <c r="G44" i="10"/>
  <c r="C21" i="19"/>
  <c r="G105" i="10"/>
  <c r="G86"/>
  <c r="G71"/>
  <c r="F3"/>
  <c r="F40" s="1"/>
  <c r="F44" i="5"/>
  <c r="C45" s="1"/>
  <c r="I61" i="10"/>
  <c r="I46" s="1"/>
  <c r="F59" i="19"/>
  <c r="F49"/>
  <c r="D15" i="12"/>
  <c r="F51" i="19"/>
  <c r="F52" s="1"/>
  <c r="J46" i="11"/>
  <c r="D49" i="14"/>
  <c r="E49" s="1"/>
  <c r="A91" i="5"/>
  <c r="A91" i="14"/>
  <c r="F48" i="15"/>
  <c r="C49" s="1"/>
  <c r="D84"/>
  <c r="C84"/>
  <c r="F84"/>
  <c r="A85"/>
  <c r="B84"/>
  <c r="E84"/>
  <c r="I9" i="17"/>
  <c r="J44" i="11"/>
  <c r="I11" i="17" l="1"/>
  <c r="I13"/>
  <c r="F85" i="15"/>
  <c r="C85"/>
  <c r="A86"/>
  <c r="E85"/>
  <c r="D85"/>
  <c r="B85"/>
  <c r="J47" i="10"/>
  <c r="J57"/>
  <c r="J59"/>
  <c r="J63"/>
  <c r="I44"/>
  <c r="J51"/>
  <c r="J61"/>
  <c r="J65"/>
  <c r="J55"/>
  <c r="J53"/>
  <c r="D45" i="5"/>
  <c r="B45" s="1"/>
  <c r="B49" i="14"/>
  <c r="D49" i="15"/>
  <c r="E49" s="1"/>
  <c r="A92" i="14"/>
  <c r="A92" i="5"/>
  <c r="F49" i="14"/>
  <c r="C50" s="1"/>
  <c r="D23" i="12"/>
  <c r="L57" i="10" s="1"/>
  <c r="C33" i="12"/>
  <c r="E33" s="1"/>
  <c r="F33" s="1"/>
  <c r="L53" i="10"/>
  <c r="C17" i="19"/>
  <c r="F4" i="10"/>
  <c r="C46" i="19"/>
  <c r="C48"/>
  <c r="C44"/>
  <c r="D17" i="12" l="1"/>
  <c r="E17" s="1"/>
  <c r="B49" i="15"/>
  <c r="D50" i="14"/>
  <c r="E50" s="1"/>
  <c r="A93" i="5"/>
  <c r="A93" i="14"/>
  <c r="F49" i="15"/>
  <c r="C50" s="1"/>
  <c r="E45" i="5"/>
  <c r="J46" i="10"/>
  <c r="J67"/>
  <c r="J69"/>
  <c r="F47" i="19"/>
  <c r="A87" i="15"/>
  <c r="E86"/>
  <c r="F86"/>
  <c r="B86"/>
  <c r="C86"/>
  <c r="D86"/>
  <c r="I15" i="17"/>
  <c r="Z110" i="7"/>
  <c r="I101" i="10" l="1"/>
  <c r="I99" s="1"/>
  <c r="Z112" i="7"/>
  <c r="AB102" s="1"/>
  <c r="D50" i="15"/>
  <c r="E50" s="1"/>
  <c r="A94" i="14"/>
  <c r="A94" i="5"/>
  <c r="B50" i="14"/>
  <c r="I30" i="10"/>
  <c r="I27" s="1"/>
  <c r="C87" i="15"/>
  <c r="F87"/>
  <c r="D87"/>
  <c r="E87"/>
  <c r="A88"/>
  <c r="B87"/>
  <c r="F45" i="5"/>
  <c r="C46" s="1"/>
  <c r="F50" i="14"/>
  <c r="C51" s="1"/>
  <c r="D51" l="1"/>
  <c r="E51" s="1"/>
  <c r="D46" i="5"/>
  <c r="A89" i="15"/>
  <c r="C88"/>
  <c r="F88"/>
  <c r="D88"/>
  <c r="E88"/>
  <c r="B88"/>
  <c r="J29" i="10"/>
  <c r="I21"/>
  <c r="J28"/>
  <c r="J30"/>
  <c r="A95" i="5"/>
  <c r="A95" i="14"/>
  <c r="J100" i="10"/>
  <c r="J101"/>
  <c r="B50" i="15"/>
  <c r="F50"/>
  <c r="C51" s="1"/>
  <c r="D51" l="1"/>
  <c r="E51" s="1"/>
  <c r="F31" i="19"/>
  <c r="J32" i="10"/>
  <c r="J23"/>
  <c r="J38"/>
  <c r="J36"/>
  <c r="J34"/>
  <c r="J25"/>
  <c r="J27"/>
  <c r="I39"/>
  <c r="E46" i="5"/>
  <c r="F51" i="14"/>
  <c r="C52" s="1"/>
  <c r="A96"/>
  <c r="A96" i="5"/>
  <c r="C89" i="15"/>
  <c r="A90"/>
  <c r="B89"/>
  <c r="E89"/>
  <c r="F89"/>
  <c r="D89"/>
  <c r="B46" i="5"/>
  <c r="B51" i="14"/>
  <c r="A97" i="5" l="1"/>
  <c r="A97" i="14"/>
  <c r="D52"/>
  <c r="E52" s="1"/>
  <c r="F51" i="15"/>
  <c r="C52" s="1"/>
  <c r="D90"/>
  <c r="F90"/>
  <c r="C90"/>
  <c r="A91"/>
  <c r="B90"/>
  <c r="E90"/>
  <c r="F46" i="5"/>
  <c r="C47" s="1"/>
  <c r="J7" i="10"/>
  <c r="J21"/>
  <c r="J40"/>
  <c r="B51" i="15"/>
  <c r="B52" i="14" l="1"/>
  <c r="D47" i="5"/>
  <c r="B47" s="1"/>
  <c r="D52" i="15"/>
  <c r="E52" s="1"/>
  <c r="F52" i="14"/>
  <c r="C53" s="1"/>
  <c r="A98"/>
  <c r="A98" i="5"/>
  <c r="B91" i="15"/>
  <c r="A92"/>
  <c r="F91"/>
  <c r="C91"/>
  <c r="E91"/>
  <c r="D91"/>
  <c r="B52" l="1"/>
  <c r="A93"/>
  <c r="F92"/>
  <c r="E92"/>
  <c r="D92"/>
  <c r="C92"/>
  <c r="B92"/>
  <c r="E47" i="5"/>
  <c r="A99"/>
  <c r="A99" i="14"/>
  <c r="D53"/>
  <c r="E53" s="1"/>
  <c r="F52" i="15"/>
  <c r="C53" s="1"/>
  <c r="B53" i="14" l="1"/>
  <c r="D53" i="15"/>
  <c r="E53" s="1"/>
  <c r="F53" i="14"/>
  <c r="C54" s="1"/>
  <c r="A100"/>
  <c r="A100" i="5"/>
  <c r="E93" i="15"/>
  <c r="C93"/>
  <c r="A94"/>
  <c r="F93"/>
  <c r="B93"/>
  <c r="D93"/>
  <c r="F47" i="5"/>
  <c r="C48" s="1"/>
  <c r="D48" l="1"/>
  <c r="B48" s="1"/>
  <c r="A95" i="15"/>
  <c r="E94"/>
  <c r="F94"/>
  <c r="B94"/>
  <c r="C94"/>
  <c r="D94"/>
  <c r="A101" i="5"/>
  <c r="A101" i="14"/>
  <c r="D54"/>
  <c r="E54" s="1"/>
  <c r="B53" i="15"/>
  <c r="F53"/>
  <c r="C54" s="1"/>
  <c r="B54" i="14" l="1"/>
  <c r="D54" i="15"/>
  <c r="E54" s="1"/>
  <c r="E48" i="5"/>
  <c r="F54" i="14"/>
  <c r="C55" s="1"/>
  <c r="A102"/>
  <c r="A102" i="5"/>
  <c r="C95" i="15"/>
  <c r="D95"/>
  <c r="B95"/>
  <c r="E95"/>
  <c r="F95"/>
  <c r="A96"/>
  <c r="A103" i="5" l="1"/>
  <c r="A103" i="14"/>
  <c r="D55"/>
  <c r="E55" s="1"/>
  <c r="B54" i="15"/>
  <c r="F96"/>
  <c r="C96"/>
  <c r="A97"/>
  <c r="D96"/>
  <c r="B96"/>
  <c r="E96"/>
  <c r="F48" i="5"/>
  <c r="C49" s="1"/>
  <c r="F54" i="15"/>
  <c r="C55" s="1"/>
  <c r="B55" i="14" l="1"/>
  <c r="D55" i="15"/>
  <c r="E55" s="1"/>
  <c r="F55" i="14"/>
  <c r="C56" s="1"/>
  <c r="A104"/>
  <c r="A104" i="5"/>
  <c r="D49"/>
  <c r="E49" s="1"/>
  <c r="B97" i="15"/>
  <c r="F97"/>
  <c r="C97"/>
  <c r="E97"/>
  <c r="A98"/>
  <c r="D97"/>
  <c r="E98" l="1"/>
  <c r="C98"/>
  <c r="A99"/>
  <c r="F98"/>
  <c r="B98"/>
  <c r="D98"/>
  <c r="F49" i="5"/>
  <c r="C50" s="1"/>
  <c r="A105"/>
  <c r="A105" i="14"/>
  <c r="D56"/>
  <c r="E56" s="1"/>
  <c r="B55" i="15"/>
  <c r="F55"/>
  <c r="C56" s="1"/>
  <c r="B49" i="5"/>
  <c r="F56" i="14" l="1"/>
  <c r="C57" s="1"/>
  <c r="A106"/>
  <c r="A106" i="5"/>
  <c r="D50"/>
  <c r="E50" s="1"/>
  <c r="B50"/>
  <c r="D99" i="15"/>
  <c r="C99"/>
  <c r="F99"/>
  <c r="E99"/>
  <c r="A100"/>
  <c r="B99"/>
  <c r="D56"/>
  <c r="E56" s="1"/>
  <c r="B56" i="14"/>
  <c r="A101" i="15" l="1"/>
  <c r="E100"/>
  <c r="B100"/>
  <c r="F100"/>
  <c r="C100"/>
  <c r="D100"/>
  <c r="F50" i="5"/>
  <c r="C51" s="1"/>
  <c r="A107"/>
  <c r="A107" i="14"/>
  <c r="D57"/>
  <c r="E57" s="1"/>
  <c r="B56" i="15"/>
  <c r="F56"/>
  <c r="C57" s="1"/>
  <c r="B57" i="14" l="1"/>
  <c r="F57"/>
  <c r="C58" s="1"/>
  <c r="A108"/>
  <c r="A108" i="5"/>
  <c r="D51"/>
  <c r="E51" s="1"/>
  <c r="D101" i="15"/>
  <c r="E101"/>
  <c r="A102"/>
  <c r="C101"/>
  <c r="F101"/>
  <c r="B101"/>
  <c r="D57"/>
  <c r="E57" s="1"/>
  <c r="B51" i="5" l="1"/>
  <c r="F57" i="15"/>
  <c r="C58" s="1"/>
  <c r="A103"/>
  <c r="D102"/>
  <c r="E102"/>
  <c r="C102"/>
  <c r="F102"/>
  <c r="B102"/>
  <c r="F51" i="5"/>
  <c r="C52" s="1"/>
  <c r="A109"/>
  <c r="A109" i="14"/>
  <c r="D58"/>
  <c r="E58" s="1"/>
  <c r="B57" i="15"/>
  <c r="A110" i="14" l="1"/>
  <c r="A110" i="5"/>
  <c r="D52"/>
  <c r="E52" s="1"/>
  <c r="E103" i="15"/>
  <c r="A104"/>
  <c r="F103"/>
  <c r="D103"/>
  <c r="C103"/>
  <c r="B103"/>
  <c r="D58"/>
  <c r="E58" s="1"/>
  <c r="B58"/>
  <c r="F58" i="14"/>
  <c r="C59" s="1"/>
  <c r="B58"/>
  <c r="D59" l="1"/>
  <c r="E59" s="1"/>
  <c r="F58" i="15"/>
  <c r="C59" s="1"/>
  <c r="A111" i="5"/>
  <c r="A111" i="14"/>
  <c r="B52" i="5"/>
  <c r="D104" i="15"/>
  <c r="A105"/>
  <c r="E104"/>
  <c r="C104"/>
  <c r="B104"/>
  <c r="F104"/>
  <c r="F52" i="5"/>
  <c r="C53" s="1"/>
  <c r="B59" i="14" l="1"/>
  <c r="B105" i="15"/>
  <c r="E105"/>
  <c r="F105"/>
  <c r="D105"/>
  <c r="C105"/>
  <c r="A106"/>
  <c r="A112" i="14"/>
  <c r="A112" i="5"/>
  <c r="D59" i="15"/>
  <c r="E59" s="1"/>
  <c r="F59" i="14"/>
  <c r="C60" s="1"/>
  <c r="D53" i="5"/>
  <c r="E53" s="1"/>
  <c r="B53" l="1"/>
  <c r="F53"/>
  <c r="C54" s="1"/>
  <c r="D60" i="14"/>
  <c r="E60" s="1"/>
  <c r="A113" i="5"/>
  <c r="A113" i="14"/>
  <c r="B59" i="15"/>
  <c r="F59"/>
  <c r="C60" s="1"/>
  <c r="D106"/>
  <c r="F106"/>
  <c r="B106"/>
  <c r="A107"/>
  <c r="C106"/>
  <c r="E106"/>
  <c r="D107" l="1"/>
  <c r="E107"/>
  <c r="B107"/>
  <c r="F107"/>
  <c r="C107"/>
  <c r="A108"/>
  <c r="A114" i="14"/>
  <c r="A114" i="5"/>
  <c r="F60" i="14"/>
  <c r="C61" s="1"/>
  <c r="D54" i="5"/>
  <c r="E54" s="1"/>
  <c r="D60" i="15"/>
  <c r="E60" s="1"/>
  <c r="B60" i="14"/>
  <c r="B60" i="15" l="1"/>
  <c r="F54" i="5"/>
  <c r="C55" s="1"/>
  <c r="D61" i="14"/>
  <c r="E61" s="1"/>
  <c r="A115" i="5"/>
  <c r="A115" i="14"/>
  <c r="F60" i="15"/>
  <c r="C61" s="1"/>
  <c r="B108"/>
  <c r="A109"/>
  <c r="D108"/>
  <c r="E108"/>
  <c r="F108"/>
  <c r="C108"/>
  <c r="B54" i="5"/>
  <c r="D61" i="15" l="1"/>
  <c r="E61" s="1"/>
  <c r="A116" i="14"/>
  <c r="A116" i="5"/>
  <c r="F61" i="14"/>
  <c r="C62" s="1"/>
  <c r="D55" i="5"/>
  <c r="U71" i="3"/>
  <c r="E109" i="15"/>
  <c r="C109"/>
  <c r="F109"/>
  <c r="D109"/>
  <c r="A110"/>
  <c r="B109"/>
  <c r="B61" i="14"/>
  <c r="I76" i="10" l="1"/>
  <c r="I93"/>
  <c r="I92" s="1"/>
  <c r="E55" i="5"/>
  <c r="D62" i="14"/>
  <c r="E62" s="1"/>
  <c r="B62"/>
  <c r="A117" i="5"/>
  <c r="C116" i="14"/>
  <c r="E116"/>
  <c r="D116"/>
  <c r="A117"/>
  <c r="F116"/>
  <c r="B116"/>
  <c r="F61" i="15"/>
  <c r="C62" s="1"/>
  <c r="U69" i="3"/>
  <c r="U27" s="1"/>
  <c r="L32" i="11"/>
  <c r="F110" i="15"/>
  <c r="A111"/>
  <c r="D110"/>
  <c r="B110"/>
  <c r="C110"/>
  <c r="E110"/>
  <c r="B55" i="5"/>
  <c r="AB100" i="7" s="1"/>
  <c r="AB112" s="1"/>
  <c r="AB114" s="1"/>
  <c r="L38" i="10" s="1"/>
  <c r="B61" i="15"/>
  <c r="E111" l="1"/>
  <c r="D111"/>
  <c r="A112"/>
  <c r="B111"/>
  <c r="F111"/>
  <c r="C111"/>
  <c r="L40" i="11"/>
  <c r="I24" i="19"/>
  <c r="M32" i="11"/>
  <c r="D117" i="14"/>
  <c r="E117"/>
  <c r="F117"/>
  <c r="B117"/>
  <c r="C117"/>
  <c r="A118"/>
  <c r="I25" i="19"/>
  <c r="F55" i="5"/>
  <c r="C56" s="1"/>
  <c r="I75" i="10"/>
  <c r="F50" i="19"/>
  <c r="D62" i="15"/>
  <c r="E62" s="1"/>
  <c r="A118" i="5"/>
  <c r="F62" i="14"/>
  <c r="C63" s="1"/>
  <c r="J94" i="10"/>
  <c r="J93"/>
  <c r="J95"/>
  <c r="I86"/>
  <c r="J99" l="1"/>
  <c r="J90"/>
  <c r="J97"/>
  <c r="F13" i="19"/>
  <c r="J88" i="10"/>
  <c r="F15" i="19"/>
  <c r="J103" i="10"/>
  <c r="J92"/>
  <c r="F14" i="19"/>
  <c r="F9"/>
  <c r="M40" i="11"/>
  <c r="L42"/>
  <c r="B112" i="15"/>
  <c r="D112"/>
  <c r="A113"/>
  <c r="C112"/>
  <c r="E112"/>
  <c r="F112"/>
  <c r="B62"/>
  <c r="D63" i="14"/>
  <c r="E63" s="1"/>
  <c r="A119" i="5"/>
  <c r="F62" i="15"/>
  <c r="C63" s="1"/>
  <c r="J76" i="10"/>
  <c r="I71"/>
  <c r="J77"/>
  <c r="J78"/>
  <c r="D56" i="5"/>
  <c r="B56" s="1"/>
  <c r="F118" i="14"/>
  <c r="C118"/>
  <c r="A119"/>
  <c r="B118"/>
  <c r="D118"/>
  <c r="E118"/>
  <c r="B63" l="1"/>
  <c r="A120"/>
  <c r="F119"/>
  <c r="D119"/>
  <c r="C119"/>
  <c r="E119"/>
  <c r="B119"/>
  <c r="E56" i="5"/>
  <c r="J73" i="10"/>
  <c r="J75"/>
  <c r="F58" i="19"/>
  <c r="F22"/>
  <c r="J82" i="10"/>
  <c r="J84"/>
  <c r="J80"/>
  <c r="F23" i="19"/>
  <c r="I105" i="10"/>
  <c r="F63" i="14"/>
  <c r="C64" s="1"/>
  <c r="D113" i="15"/>
  <c r="E113"/>
  <c r="C113"/>
  <c r="A114"/>
  <c r="F113"/>
  <c r="B113"/>
  <c r="D63"/>
  <c r="E63" s="1"/>
  <c r="A120" i="5"/>
  <c r="L7" i="17"/>
  <c r="L44" i="11"/>
  <c r="M42"/>
  <c r="F37" i="19"/>
  <c r="F16"/>
  <c r="L9" i="17" l="1"/>
  <c r="M44" i="11"/>
  <c r="D114" i="15"/>
  <c r="E114"/>
  <c r="F114"/>
  <c r="A115"/>
  <c r="C114"/>
  <c r="B114"/>
  <c r="J44" i="10"/>
  <c r="J105"/>
  <c r="J86"/>
  <c r="J71"/>
  <c r="F21" i="19"/>
  <c r="I3" i="10"/>
  <c r="I40" s="1"/>
  <c r="B120" i="14"/>
  <c r="C120"/>
  <c r="F120"/>
  <c r="A121"/>
  <c r="E120"/>
  <c r="D120"/>
  <c r="L46" i="11"/>
  <c r="B63" i="15"/>
  <c r="A121" i="5"/>
  <c r="F63" i="15"/>
  <c r="C64" s="1"/>
  <c r="D64" i="14"/>
  <c r="E64" s="1"/>
  <c r="F56" i="5"/>
  <c r="C57" s="1"/>
  <c r="D57" l="1"/>
  <c r="F64" i="14"/>
  <c r="C65" s="1"/>
  <c r="L61" i="10"/>
  <c r="L46" s="1"/>
  <c r="I59" i="19"/>
  <c r="D26" i="12"/>
  <c r="I51" i="19"/>
  <c r="I52" s="1"/>
  <c r="I49"/>
  <c r="M46" i="11"/>
  <c r="L11" i="17"/>
  <c r="L13"/>
  <c r="AC110" i="7" s="1"/>
  <c r="B64" i="14"/>
  <c r="D64" i="15"/>
  <c r="E64" s="1"/>
  <c r="A122" i="5"/>
  <c r="C121" i="14"/>
  <c r="B121"/>
  <c r="A122"/>
  <c r="E121"/>
  <c r="D121"/>
  <c r="F121"/>
  <c r="F57" i="19"/>
  <c r="F17"/>
  <c r="F48"/>
  <c r="I4" i="10"/>
  <c r="F46" i="19"/>
  <c r="F44"/>
  <c r="B115" i="15"/>
  <c r="C115"/>
  <c r="E115"/>
  <c r="F115"/>
  <c r="A116"/>
  <c r="D115"/>
  <c r="B64" l="1"/>
  <c r="L15" i="17"/>
  <c r="L30" i="10" s="1"/>
  <c r="L27" s="1"/>
  <c r="M29" s="1"/>
  <c r="M57"/>
  <c r="M61"/>
  <c r="M51"/>
  <c r="L44"/>
  <c r="M59"/>
  <c r="M53"/>
  <c r="M47"/>
  <c r="M55"/>
  <c r="M65"/>
  <c r="M63"/>
  <c r="D65" i="14"/>
  <c r="E65" s="1"/>
  <c r="E57" i="5"/>
  <c r="F116" i="15"/>
  <c r="C116"/>
  <c r="E116"/>
  <c r="D116"/>
  <c r="B116"/>
  <c r="A117"/>
  <c r="L57" i="19"/>
  <c r="K57"/>
  <c r="N57"/>
  <c r="M57"/>
  <c r="E122" i="14"/>
  <c r="C122"/>
  <c r="D122"/>
  <c r="A123"/>
  <c r="F122"/>
  <c r="B122"/>
  <c r="A123" i="5"/>
  <c r="F64" i="15"/>
  <c r="C65" s="1"/>
  <c r="L101" i="10"/>
  <c r="L99" s="1"/>
  <c r="AC112" i="7"/>
  <c r="D34" i="12"/>
  <c r="D28" s="1"/>
  <c r="E28" s="1"/>
  <c r="B57" i="5"/>
  <c r="M30" i="10" l="1"/>
  <c r="L21"/>
  <c r="M34" s="1"/>
  <c r="M28"/>
  <c r="M100"/>
  <c r="M101"/>
  <c r="D65" i="15"/>
  <c r="E65" s="1"/>
  <c r="A124" i="5"/>
  <c r="B65" i="14"/>
  <c r="F123"/>
  <c r="B123"/>
  <c r="C123"/>
  <c r="E123"/>
  <c r="D123"/>
  <c r="A124"/>
  <c r="F117" i="15"/>
  <c r="B117"/>
  <c r="D117"/>
  <c r="E117"/>
  <c r="C117"/>
  <c r="A118"/>
  <c r="F57" i="5"/>
  <c r="C58" s="1"/>
  <c r="F65" i="14"/>
  <c r="C66" s="1"/>
  <c r="M67" i="10"/>
  <c r="M46"/>
  <c r="M69"/>
  <c r="I47" i="19"/>
  <c r="I31"/>
  <c r="M36" i="10"/>
  <c r="M23"/>
  <c r="M32" l="1"/>
  <c r="L39"/>
  <c r="M25"/>
  <c r="M27"/>
  <c r="M38"/>
  <c r="M21"/>
  <c r="M40"/>
  <c r="M7"/>
  <c r="E118" i="15"/>
  <c r="D118"/>
  <c r="B118"/>
  <c r="A119"/>
  <c r="C118"/>
  <c r="F118"/>
  <c r="E124" i="14"/>
  <c r="D124"/>
  <c r="C124"/>
  <c r="B124"/>
  <c r="F124"/>
  <c r="A125"/>
  <c r="A125" i="5"/>
  <c r="B65" i="15"/>
  <c r="D66" i="14"/>
  <c r="E66" s="1"/>
  <c r="D58" i="5"/>
  <c r="B58" s="1"/>
  <c r="F65" i="15"/>
  <c r="C66" s="1"/>
  <c r="B66" i="14" l="1"/>
  <c r="D66" i="15"/>
  <c r="E66" s="1"/>
  <c r="F66" i="14"/>
  <c r="C67" s="1"/>
  <c r="C125"/>
  <c r="A126"/>
  <c r="E125"/>
  <c r="B125"/>
  <c r="F125"/>
  <c r="D125"/>
  <c r="C119" i="15"/>
  <c r="B119"/>
  <c r="A120"/>
  <c r="F119"/>
  <c r="E119"/>
  <c r="D119"/>
  <c r="E58" i="5"/>
  <c r="A126"/>
  <c r="B66" i="15" l="1"/>
  <c r="A121"/>
  <c r="B120"/>
  <c r="C120"/>
  <c r="F120"/>
  <c r="E120"/>
  <c r="D120"/>
  <c r="D67" i="14"/>
  <c r="E67" s="1"/>
  <c r="A127" i="5"/>
  <c r="F58"/>
  <c r="C59" s="1"/>
  <c r="A127" i="14"/>
  <c r="B126"/>
  <c r="D126"/>
  <c r="F126"/>
  <c r="C126"/>
  <c r="E126"/>
  <c r="F66" i="15"/>
  <c r="C67" s="1"/>
  <c r="B67" i="14" l="1"/>
  <c r="F127"/>
  <c r="E127"/>
  <c r="C127"/>
  <c r="B127"/>
  <c r="A128"/>
  <c r="D127"/>
  <c r="D59" i="5"/>
  <c r="B59" s="1"/>
  <c r="A128"/>
  <c r="F67" i="14"/>
  <c r="C68" s="1"/>
  <c r="D121" i="15"/>
  <c r="F121"/>
  <c r="A122"/>
  <c r="B121"/>
  <c r="E121"/>
  <c r="C121"/>
  <c r="D67"/>
  <c r="E67" s="1"/>
  <c r="F67" l="1"/>
  <c r="C68" s="1"/>
  <c r="F122"/>
  <c r="A123"/>
  <c r="E122"/>
  <c r="B122"/>
  <c r="C122"/>
  <c r="D122"/>
  <c r="D68" i="14"/>
  <c r="E68" s="1"/>
  <c r="A129" i="5"/>
  <c r="E59"/>
  <c r="F128" i="14"/>
  <c r="E128"/>
  <c r="B128"/>
  <c r="C128"/>
  <c r="D128"/>
  <c r="A129"/>
  <c r="B67" i="15"/>
  <c r="A130" i="5" l="1"/>
  <c r="F68" i="14"/>
  <c r="C69" s="1"/>
  <c r="D68" i="15"/>
  <c r="E68" s="1"/>
  <c r="D129" i="14"/>
  <c r="B129"/>
  <c r="C129"/>
  <c r="A130"/>
  <c r="F129"/>
  <c r="E129"/>
  <c r="F59" i="5"/>
  <c r="C60" s="1"/>
  <c r="B123" i="15"/>
  <c r="D123"/>
  <c r="C123"/>
  <c r="F123"/>
  <c r="E123"/>
  <c r="A124"/>
  <c r="B68" i="14"/>
  <c r="D60" i="5" l="1"/>
  <c r="B60" s="1"/>
  <c r="F68" i="15"/>
  <c r="C69" s="1"/>
  <c r="D69" i="14"/>
  <c r="E69" s="1"/>
  <c r="A131" i="5"/>
  <c r="B124" i="15"/>
  <c r="C124"/>
  <c r="A125"/>
  <c r="F124"/>
  <c r="E124"/>
  <c r="D124"/>
  <c r="E130" i="14"/>
  <c r="B130"/>
  <c r="A131"/>
  <c r="C130"/>
  <c r="F130"/>
  <c r="D130"/>
  <c r="B68" i="15"/>
  <c r="B69" i="14" l="1"/>
  <c r="F131"/>
  <c r="E131"/>
  <c r="A132"/>
  <c r="D131"/>
  <c r="B131"/>
  <c r="C131"/>
  <c r="E125" i="15"/>
  <c r="C125"/>
  <c r="A126"/>
  <c r="B125"/>
  <c r="F125"/>
  <c r="D125"/>
  <c r="A132" i="5"/>
  <c r="D69" i="15"/>
  <c r="E69" s="1"/>
  <c r="B69"/>
  <c r="F69" i="14"/>
  <c r="C70" s="1"/>
  <c r="E60" i="5"/>
  <c r="D70" i="14" l="1"/>
  <c r="E70" s="1"/>
  <c r="F69" i="15"/>
  <c r="C70" s="1"/>
  <c r="A133" i="5"/>
  <c r="A127" i="15"/>
  <c r="D126"/>
  <c r="F126"/>
  <c r="C126"/>
  <c r="E126"/>
  <c r="B126"/>
  <c r="A133" i="14"/>
  <c r="E132"/>
  <c r="F132"/>
  <c r="B132"/>
  <c r="C132"/>
  <c r="D132"/>
  <c r="F60" i="5"/>
  <c r="C61" s="1"/>
  <c r="B70" i="14" l="1"/>
  <c r="D61" i="5"/>
  <c r="E61" s="1"/>
  <c r="B133" i="14"/>
  <c r="A134"/>
  <c r="E133"/>
  <c r="C133"/>
  <c r="D133"/>
  <c r="F133"/>
  <c r="F127" i="15"/>
  <c r="D127"/>
  <c r="C127"/>
  <c r="E127"/>
  <c r="B127"/>
  <c r="A128"/>
  <c r="A134" i="5"/>
  <c r="D70" i="15"/>
  <c r="E70" s="1"/>
  <c r="F70" i="14"/>
  <c r="C71" s="1"/>
  <c r="D71" l="1"/>
  <c r="E71" s="1"/>
  <c r="A135" i="5"/>
  <c r="F61"/>
  <c r="C62" s="1"/>
  <c r="B70" i="15"/>
  <c r="F70"/>
  <c r="C71" s="1"/>
  <c r="B128"/>
  <c r="A129"/>
  <c r="E128"/>
  <c r="C128"/>
  <c r="D128"/>
  <c r="F128"/>
  <c r="C134" i="14"/>
  <c r="D134"/>
  <c r="A135"/>
  <c r="E134"/>
  <c r="F134"/>
  <c r="B134"/>
  <c r="B61" i="5"/>
  <c r="F129" i="15" l="1"/>
  <c r="B129"/>
  <c r="D129"/>
  <c r="A130"/>
  <c r="C129"/>
  <c r="E129"/>
  <c r="D62" i="5"/>
  <c r="E62" s="1"/>
  <c r="A136"/>
  <c r="B71" i="14"/>
  <c r="A136"/>
  <c r="F135"/>
  <c r="B135"/>
  <c r="D135"/>
  <c r="C135"/>
  <c r="E135"/>
  <c r="D71" i="15"/>
  <c r="E71" s="1"/>
  <c r="F71" i="14"/>
  <c r="C72" s="1"/>
  <c r="B71" i="15" l="1"/>
  <c r="B62" i="5"/>
  <c r="A137"/>
  <c r="F62"/>
  <c r="C63" s="1"/>
  <c r="D72" i="14"/>
  <c r="E72" s="1"/>
  <c r="F71" i="15"/>
  <c r="C72" s="1"/>
  <c r="D136" i="14"/>
  <c r="B136"/>
  <c r="A137"/>
  <c r="C136"/>
  <c r="F136"/>
  <c r="E136"/>
  <c r="F130" i="15"/>
  <c r="E130"/>
  <c r="C130"/>
  <c r="D130"/>
  <c r="B130"/>
  <c r="A131"/>
  <c r="D137" i="14" l="1"/>
  <c r="C137"/>
  <c r="B137"/>
  <c r="E137"/>
  <c r="A138"/>
  <c r="F137"/>
  <c r="D72" i="15"/>
  <c r="E72" s="1"/>
  <c r="F72" i="14"/>
  <c r="C73" s="1"/>
  <c r="D63" i="5"/>
  <c r="E63" s="1"/>
  <c r="A138"/>
  <c r="A132" i="15"/>
  <c r="D131"/>
  <c r="B131"/>
  <c r="F131"/>
  <c r="E131"/>
  <c r="C131"/>
  <c r="B72" i="14"/>
  <c r="A133" i="15" l="1"/>
  <c r="D132"/>
  <c r="F132"/>
  <c r="E132"/>
  <c r="C132"/>
  <c r="B132"/>
  <c r="A139" i="5"/>
  <c r="F63"/>
  <c r="C64" s="1"/>
  <c r="D73" i="14"/>
  <c r="E73" s="1"/>
  <c r="E138"/>
  <c r="B138"/>
  <c r="D138"/>
  <c r="F138"/>
  <c r="A139"/>
  <c r="C138"/>
  <c r="B72" i="15"/>
  <c r="F72"/>
  <c r="C73" s="1"/>
  <c r="B63" i="5"/>
  <c r="F139" i="14" l="1"/>
  <c r="C139"/>
  <c r="D139"/>
  <c r="E139"/>
  <c r="B139"/>
  <c r="A140"/>
  <c r="F73"/>
  <c r="C74" s="1"/>
  <c r="D64" i="5"/>
  <c r="E64" s="1"/>
  <c r="A140"/>
  <c r="E133" i="15"/>
  <c r="F133"/>
  <c r="A134"/>
  <c r="B133"/>
  <c r="C133"/>
  <c r="D133"/>
  <c r="D73"/>
  <c r="E73" s="1"/>
  <c r="B73" i="14"/>
  <c r="F73" i="15" l="1"/>
  <c r="C74" s="1"/>
  <c r="B134"/>
  <c r="E134"/>
  <c r="F134"/>
  <c r="C134"/>
  <c r="A135"/>
  <c r="D134"/>
  <c r="A141" i="5"/>
  <c r="F140"/>
  <c r="E140"/>
  <c r="B140"/>
  <c r="D140"/>
  <c r="C140"/>
  <c r="F64"/>
  <c r="C65" s="1"/>
  <c r="D74" i="14"/>
  <c r="E74" s="1"/>
  <c r="A141"/>
  <c r="B140"/>
  <c r="E140"/>
  <c r="C140"/>
  <c r="D140"/>
  <c r="F140"/>
  <c r="B73" i="15"/>
  <c r="B64" i="5"/>
  <c r="E141" i="14" l="1"/>
  <c r="D141"/>
  <c r="A142"/>
  <c r="F141"/>
  <c r="B141"/>
  <c r="C141"/>
  <c r="F74"/>
  <c r="C75" s="1"/>
  <c r="D65" i="5"/>
  <c r="E65" s="1"/>
  <c r="D141"/>
  <c r="B141"/>
  <c r="F141"/>
  <c r="E141"/>
  <c r="A142"/>
  <c r="C141"/>
  <c r="A136" i="15"/>
  <c r="B135"/>
  <c r="E135"/>
  <c r="D135"/>
  <c r="F135"/>
  <c r="C135"/>
  <c r="D74"/>
  <c r="E74" s="1"/>
  <c r="B74" i="14"/>
  <c r="B65" i="5" l="1"/>
  <c r="C136" i="15"/>
  <c r="A137"/>
  <c r="D136"/>
  <c r="F136"/>
  <c r="B136"/>
  <c r="E136"/>
  <c r="B142" i="5"/>
  <c r="C142"/>
  <c r="F142"/>
  <c r="D142"/>
  <c r="A143"/>
  <c r="E142"/>
  <c r="F65"/>
  <c r="C66" s="1"/>
  <c r="D75" i="14"/>
  <c r="E75" s="1"/>
  <c r="B142"/>
  <c r="E142"/>
  <c r="D142"/>
  <c r="A143"/>
  <c r="F142"/>
  <c r="C142"/>
  <c r="B74" i="15"/>
  <c r="F74"/>
  <c r="C75" s="1"/>
  <c r="B75" i="14" l="1"/>
  <c r="F75"/>
  <c r="C76" s="1"/>
  <c r="D66" i="5"/>
  <c r="E66" s="1"/>
  <c r="F143"/>
  <c r="E143"/>
  <c r="A144"/>
  <c r="C143"/>
  <c r="D143"/>
  <c r="B143"/>
  <c r="D75" i="15"/>
  <c r="E75" s="1"/>
  <c r="C143" i="14"/>
  <c r="A144"/>
  <c r="E143"/>
  <c r="B143"/>
  <c r="F143"/>
  <c r="D143"/>
  <c r="A138" i="15"/>
  <c r="F137"/>
  <c r="C137"/>
  <c r="B137"/>
  <c r="D137"/>
  <c r="E137"/>
  <c r="B75" l="1"/>
  <c r="D138"/>
  <c r="A139"/>
  <c r="E138"/>
  <c r="C138"/>
  <c r="F138"/>
  <c r="B138"/>
  <c r="A145" i="5"/>
  <c r="E144"/>
  <c r="C144"/>
  <c r="F144"/>
  <c r="D144"/>
  <c r="B144"/>
  <c r="F66"/>
  <c r="C67" s="1"/>
  <c r="D76" i="14"/>
  <c r="E76" s="1"/>
  <c r="C144"/>
  <c r="A145"/>
  <c r="B144"/>
  <c r="D144"/>
  <c r="F144"/>
  <c r="E144"/>
  <c r="F75" i="15"/>
  <c r="C76" s="1"/>
  <c r="B66" i="5"/>
  <c r="B76" i="14" l="1"/>
  <c r="D76" i="15"/>
  <c r="E76" s="1"/>
  <c r="F76" i="14"/>
  <c r="C77" s="1"/>
  <c r="D67" i="5"/>
  <c r="B67" s="1"/>
  <c r="E145"/>
  <c r="D145"/>
  <c r="B145"/>
  <c r="F145"/>
  <c r="A146"/>
  <c r="C145"/>
  <c r="B145" i="14"/>
  <c r="F145"/>
  <c r="E145"/>
  <c r="D145"/>
  <c r="A146"/>
  <c r="C145"/>
  <c r="E139" i="15"/>
  <c r="F139"/>
  <c r="A140"/>
  <c r="B139"/>
  <c r="D139"/>
  <c r="C139"/>
  <c r="B140" l="1"/>
  <c r="D140"/>
  <c r="E140"/>
  <c r="C140"/>
  <c r="A141"/>
  <c r="F140"/>
  <c r="D146" i="14"/>
  <c r="C146"/>
  <c r="E146"/>
  <c r="F146"/>
  <c r="B146"/>
  <c r="A147"/>
  <c r="E146" i="5"/>
  <c r="D146"/>
  <c r="B146"/>
  <c r="C146"/>
  <c r="F146"/>
  <c r="A147"/>
  <c r="D77" i="14"/>
  <c r="E77" s="1"/>
  <c r="F76" i="15"/>
  <c r="C77" s="1"/>
  <c r="L76" i="10"/>
  <c r="L93"/>
  <c r="L92" s="1"/>
  <c r="E67" i="5"/>
  <c r="B76" i="15"/>
  <c r="F67" i="5" l="1"/>
  <c r="C68" s="1"/>
  <c r="L75" i="10"/>
  <c r="I50" i="19"/>
  <c r="D77" i="15"/>
  <c r="E77" s="1"/>
  <c r="E141"/>
  <c r="F141"/>
  <c r="A142"/>
  <c r="D141"/>
  <c r="B141"/>
  <c r="C141"/>
  <c r="B77" i="14"/>
  <c r="M95" i="10"/>
  <c r="M93"/>
  <c r="M94"/>
  <c r="L86"/>
  <c r="F77" i="14"/>
  <c r="C78" s="1"/>
  <c r="B147" i="5"/>
  <c r="A148"/>
  <c r="C147"/>
  <c r="E147"/>
  <c r="D147"/>
  <c r="F147"/>
  <c r="E147" i="14"/>
  <c r="A148"/>
  <c r="C147"/>
  <c r="F147"/>
  <c r="D147"/>
  <c r="B147"/>
  <c r="B148" l="1"/>
  <c r="A149"/>
  <c r="F148"/>
  <c r="C148"/>
  <c r="E148"/>
  <c r="D148"/>
  <c r="B148" i="5"/>
  <c r="E148"/>
  <c r="D148"/>
  <c r="C148"/>
  <c r="A149"/>
  <c r="F148"/>
  <c r="M90" i="10"/>
  <c r="M99"/>
  <c r="I14" i="19"/>
  <c r="M97" i="10"/>
  <c r="I13" i="19"/>
  <c r="M92" i="10"/>
  <c r="M103"/>
  <c r="M88"/>
  <c r="I15" i="19"/>
  <c r="I9"/>
  <c r="E142" i="15"/>
  <c r="A143"/>
  <c r="C142"/>
  <c r="B142"/>
  <c r="D142"/>
  <c r="F142"/>
  <c r="F77"/>
  <c r="C78" s="1"/>
  <c r="M78" i="10"/>
  <c r="M76"/>
  <c r="M77"/>
  <c r="L71"/>
  <c r="D68" i="5"/>
  <c r="E68" s="1"/>
  <c r="D78" i="14"/>
  <c r="E78" s="1"/>
  <c r="B77" i="15"/>
  <c r="F68" i="5" l="1"/>
  <c r="C69" s="1"/>
  <c r="D78" i="15"/>
  <c r="E78" s="1"/>
  <c r="C149" i="5"/>
  <c r="E149"/>
  <c r="B149"/>
  <c r="F149"/>
  <c r="D149"/>
  <c r="A150"/>
  <c r="F78" i="14"/>
  <c r="C79" s="1"/>
  <c r="M82" i="10"/>
  <c r="M80"/>
  <c r="M75"/>
  <c r="I23" i="19"/>
  <c r="M84" i="10"/>
  <c r="M73"/>
  <c r="I58" i="19"/>
  <c r="I22"/>
  <c r="L105" i="10"/>
  <c r="A144" i="15"/>
  <c r="D143"/>
  <c r="B143"/>
  <c r="C143"/>
  <c r="E143"/>
  <c r="F143"/>
  <c r="I37" i="19"/>
  <c r="I16"/>
  <c r="B149" i="14"/>
  <c r="F149"/>
  <c r="D149"/>
  <c r="E149"/>
  <c r="A150"/>
  <c r="C149"/>
  <c r="B78"/>
  <c r="B68" i="5"/>
  <c r="M71" i="10" l="1"/>
  <c r="I21" i="19"/>
  <c r="M105" i="10"/>
  <c r="M86"/>
  <c r="M44"/>
  <c r="L3"/>
  <c r="L40" s="1"/>
  <c r="D79" i="14"/>
  <c r="E79" s="1"/>
  <c r="F78" i="15"/>
  <c r="C79" s="1"/>
  <c r="D69" i="5"/>
  <c r="E69" s="1"/>
  <c r="D150" i="14"/>
  <c r="A151"/>
  <c r="E150"/>
  <c r="B150"/>
  <c r="C150"/>
  <c r="F150"/>
  <c r="E144" i="15"/>
  <c r="D144"/>
  <c r="C144"/>
  <c r="A145"/>
  <c r="B144"/>
  <c r="F144"/>
  <c r="A151" i="5"/>
  <c r="D150"/>
  <c r="E150"/>
  <c r="C150"/>
  <c r="F150"/>
  <c r="B150"/>
  <c r="B78" i="15"/>
  <c r="B79" i="14" l="1"/>
  <c r="B69" i="5"/>
  <c r="F145" i="15"/>
  <c r="D145"/>
  <c r="C145"/>
  <c r="A146"/>
  <c r="E145"/>
  <c r="B145"/>
  <c r="B151" i="14"/>
  <c r="A152"/>
  <c r="E151"/>
  <c r="F151"/>
  <c r="C151"/>
  <c r="D151"/>
  <c r="D79" i="15"/>
  <c r="E79" s="1"/>
  <c r="F79" s="1"/>
  <c r="F79" i="14"/>
  <c r="C80" s="1"/>
  <c r="A152" i="5"/>
  <c r="D151"/>
  <c r="E151"/>
  <c r="F151"/>
  <c r="B151"/>
  <c r="C151"/>
  <c r="F69"/>
  <c r="C70" s="1"/>
  <c r="I48" i="19"/>
  <c r="I57"/>
  <c r="L4" i="10"/>
  <c r="I17" i="19"/>
  <c r="I46"/>
  <c r="I44"/>
  <c r="B79" i="15" l="1"/>
  <c r="D70" i="5"/>
  <c r="E70" s="1"/>
  <c r="E152"/>
  <c r="F152"/>
  <c r="A153"/>
  <c r="B152"/>
  <c r="C152"/>
  <c r="D152"/>
  <c r="D80" i="14"/>
  <c r="E80" s="1"/>
  <c r="L69" i="19"/>
  <c r="K69"/>
  <c r="N69"/>
  <c r="M69"/>
  <c r="D152" i="14"/>
  <c r="B152"/>
  <c r="C152"/>
  <c r="F152"/>
  <c r="E152"/>
  <c r="A153"/>
  <c r="E146" i="15"/>
  <c r="A147"/>
  <c r="C146"/>
  <c r="B146"/>
  <c r="F146"/>
  <c r="D146"/>
  <c r="B80" i="14" l="1"/>
  <c r="B70" i="5"/>
  <c r="F80" i="14"/>
  <c r="C81" s="1"/>
  <c r="A154" i="5"/>
  <c r="F153"/>
  <c r="D153"/>
  <c r="C153"/>
  <c r="B153"/>
  <c r="E153"/>
  <c r="F70"/>
  <c r="C71" s="1"/>
  <c r="F147" i="15"/>
  <c r="E147"/>
  <c r="B147"/>
  <c r="C147"/>
  <c r="D147"/>
  <c r="A148"/>
  <c r="F153" i="14"/>
  <c r="C153"/>
  <c r="E153"/>
  <c r="B153"/>
  <c r="A154"/>
  <c r="D153"/>
  <c r="C154" l="1"/>
  <c r="D154"/>
  <c r="B154"/>
  <c r="E154"/>
  <c r="A155"/>
  <c r="F154"/>
  <c r="D71" i="5"/>
  <c r="E71" s="1"/>
  <c r="E154"/>
  <c r="F154"/>
  <c r="A155"/>
  <c r="C154"/>
  <c r="D154"/>
  <c r="B154"/>
  <c r="D81" i="14"/>
  <c r="E81" s="1"/>
  <c r="A149" i="15"/>
  <c r="D148"/>
  <c r="E148"/>
  <c r="F148"/>
  <c r="B148"/>
  <c r="C148"/>
  <c r="B81" i="14" l="1"/>
  <c r="B149" i="15"/>
  <c r="E149"/>
  <c r="D149"/>
  <c r="C149"/>
  <c r="A150"/>
  <c r="F149"/>
  <c r="F81" i="14"/>
  <c r="C82" s="1"/>
  <c r="C155" i="5"/>
  <c r="F155"/>
  <c r="E155"/>
  <c r="A156"/>
  <c r="B155"/>
  <c r="D155"/>
  <c r="C155" i="14"/>
  <c r="B155"/>
  <c r="E155"/>
  <c r="A156"/>
  <c r="F155"/>
  <c r="D155"/>
  <c r="B71" i="5"/>
  <c r="F71"/>
  <c r="C72" s="1"/>
  <c r="D82" i="14" l="1"/>
  <c r="E82" s="1"/>
  <c r="B150" i="15"/>
  <c r="E150"/>
  <c r="C150"/>
  <c r="D150"/>
  <c r="F150"/>
  <c r="A151"/>
  <c r="D72" i="5"/>
  <c r="E72" s="1"/>
  <c r="E156" i="14"/>
  <c r="F156"/>
  <c r="D156"/>
  <c r="A157"/>
  <c r="C156"/>
  <c r="B156"/>
  <c r="C156" i="5"/>
  <c r="F156"/>
  <c r="A157"/>
  <c r="B156"/>
  <c r="E156"/>
  <c r="D156"/>
  <c r="B72" l="1"/>
  <c r="A158"/>
  <c r="D157"/>
  <c r="E157"/>
  <c r="B157"/>
  <c r="C157"/>
  <c r="F157"/>
  <c r="F82" i="14"/>
  <c r="C83" s="1"/>
  <c r="E157"/>
  <c r="B157"/>
  <c r="D157"/>
  <c r="A158"/>
  <c r="C157"/>
  <c r="F157"/>
  <c r="F72" i="5"/>
  <c r="C73" s="1"/>
  <c r="E151" i="15"/>
  <c r="B151"/>
  <c r="F151"/>
  <c r="C151"/>
  <c r="D151"/>
  <c r="A152"/>
  <c r="B82" i="14"/>
  <c r="D73" i="5" l="1"/>
  <c r="E73" s="1"/>
  <c r="D83" i="14"/>
  <c r="E83" s="1"/>
  <c r="C158" i="5"/>
  <c r="B158"/>
  <c r="A159"/>
  <c r="E158"/>
  <c r="D158"/>
  <c r="F158"/>
  <c r="E152" i="15"/>
  <c r="D152"/>
  <c r="F152"/>
  <c r="B152"/>
  <c r="A153"/>
  <c r="C152"/>
  <c r="C158" i="14"/>
  <c r="B158"/>
  <c r="D158"/>
  <c r="E158"/>
  <c r="F158"/>
  <c r="A159"/>
  <c r="B83" l="1"/>
  <c r="E159"/>
  <c r="A160"/>
  <c r="C159"/>
  <c r="B159"/>
  <c r="F159"/>
  <c r="D159"/>
  <c r="A154" i="15"/>
  <c r="E153"/>
  <c r="F153"/>
  <c r="C153"/>
  <c r="B153"/>
  <c r="D153"/>
  <c r="D159" i="5"/>
  <c r="C159"/>
  <c r="A160"/>
  <c r="E159"/>
  <c r="B159"/>
  <c r="F159"/>
  <c r="F83" i="14"/>
  <c r="C84" s="1"/>
  <c r="B73" i="5"/>
  <c r="F73"/>
  <c r="C74" s="1"/>
  <c r="D84" i="14" l="1"/>
  <c r="E84" s="1"/>
  <c r="E160" i="5"/>
  <c r="C160"/>
  <c r="D160"/>
  <c r="A161"/>
  <c r="B160"/>
  <c r="F160"/>
  <c r="E154" i="15"/>
  <c r="C154"/>
  <c r="A155"/>
  <c r="D154"/>
  <c r="B154"/>
  <c r="F154"/>
  <c r="D74" i="5"/>
  <c r="E74" s="1"/>
  <c r="B74"/>
  <c r="A161" i="14"/>
  <c r="D160"/>
  <c r="C160"/>
  <c r="F160"/>
  <c r="E160"/>
  <c r="B160"/>
  <c r="E161" l="1"/>
  <c r="F161"/>
  <c r="D161"/>
  <c r="C161"/>
  <c r="A162"/>
  <c r="B161"/>
  <c r="F74" i="5"/>
  <c r="C75" s="1"/>
  <c r="F155" i="15"/>
  <c r="E155"/>
  <c r="D155"/>
  <c r="B155"/>
  <c r="C155"/>
  <c r="A156"/>
  <c r="B84" i="14"/>
  <c r="A162" i="5"/>
  <c r="E161"/>
  <c r="F161"/>
  <c r="C161"/>
  <c r="D161"/>
  <c r="B161"/>
  <c r="F84" i="14"/>
  <c r="C85" s="1"/>
  <c r="D75" i="5" l="1"/>
  <c r="E75" s="1"/>
  <c r="E162" i="14"/>
  <c r="C162"/>
  <c r="D162"/>
  <c r="F162"/>
  <c r="A163"/>
  <c r="B162"/>
  <c r="D85"/>
  <c r="E85" s="1"/>
  <c r="B85"/>
  <c r="A163" i="5"/>
  <c r="D162"/>
  <c r="F162"/>
  <c r="B162"/>
  <c r="E162"/>
  <c r="C162"/>
  <c r="E156" i="15"/>
  <c r="A157"/>
  <c r="F156"/>
  <c r="B156"/>
  <c r="D156"/>
  <c r="C156"/>
  <c r="B163" i="5" l="1"/>
  <c r="D163"/>
  <c r="A164"/>
  <c r="E163"/>
  <c r="C163"/>
  <c r="F163"/>
  <c r="F85" i="14"/>
  <c r="C86" s="1"/>
  <c r="D163"/>
  <c r="E163"/>
  <c r="B163"/>
  <c r="C163"/>
  <c r="A164"/>
  <c r="F163"/>
  <c r="B75" i="5"/>
  <c r="A158" i="15"/>
  <c r="C157"/>
  <c r="F157"/>
  <c r="E157"/>
  <c r="B157"/>
  <c r="D157"/>
  <c r="F75" i="5"/>
  <c r="C76" s="1"/>
  <c r="B164" i="14" l="1"/>
  <c r="A165"/>
  <c r="D164"/>
  <c r="C164"/>
  <c r="F164"/>
  <c r="E164"/>
  <c r="D86"/>
  <c r="E86" s="1"/>
  <c r="F164" i="5"/>
  <c r="B164"/>
  <c r="E164"/>
  <c r="A165"/>
  <c r="C164"/>
  <c r="D164"/>
  <c r="D76"/>
  <c r="E76" s="1"/>
  <c r="F158" i="15"/>
  <c r="B158"/>
  <c r="E158"/>
  <c r="D158"/>
  <c r="A159"/>
  <c r="C158"/>
  <c r="B76" i="5" l="1"/>
  <c r="F159" i="15"/>
  <c r="C159"/>
  <c r="A160"/>
  <c r="E159"/>
  <c r="B159"/>
  <c r="D159"/>
  <c r="F86" i="14"/>
  <c r="C87" s="1"/>
  <c r="F76" i="5"/>
  <c r="C77" s="1"/>
  <c r="D165"/>
  <c r="B165"/>
  <c r="A166"/>
  <c r="F165"/>
  <c r="C165"/>
  <c r="E165"/>
  <c r="E165" i="14"/>
  <c r="A166"/>
  <c r="C165"/>
  <c r="D165"/>
  <c r="F165"/>
  <c r="B165"/>
  <c r="B86"/>
  <c r="B166" i="5" l="1"/>
  <c r="C166"/>
  <c r="A167"/>
  <c r="D166"/>
  <c r="F166"/>
  <c r="E166"/>
  <c r="D77"/>
  <c r="E77" s="1"/>
  <c r="D87" i="14"/>
  <c r="E87" s="1"/>
  <c r="C160" i="15"/>
  <c r="E160"/>
  <c r="B160"/>
  <c r="D160"/>
  <c r="A161"/>
  <c r="F160"/>
  <c r="C166" i="14"/>
  <c r="B166"/>
  <c r="A167"/>
  <c r="F166"/>
  <c r="E166"/>
  <c r="D166"/>
  <c r="B87" l="1"/>
  <c r="B77" i="5"/>
  <c r="A168" i="14"/>
  <c r="C167"/>
  <c r="E167"/>
  <c r="B167"/>
  <c r="D167"/>
  <c r="F167"/>
  <c r="A162" i="15"/>
  <c r="E161"/>
  <c r="B161"/>
  <c r="C161"/>
  <c r="F161"/>
  <c r="D161"/>
  <c r="F87" i="14"/>
  <c r="C88" s="1"/>
  <c r="F77" i="5"/>
  <c r="C78" s="1"/>
  <c r="B167"/>
  <c r="C167"/>
  <c r="E167"/>
  <c r="F167"/>
  <c r="D167"/>
  <c r="A168"/>
  <c r="D78" l="1"/>
  <c r="E78" s="1"/>
  <c r="D88" i="14"/>
  <c r="E88" s="1"/>
  <c r="D162" i="15"/>
  <c r="C162"/>
  <c r="B162"/>
  <c r="A163"/>
  <c r="E162"/>
  <c r="F162"/>
  <c r="B168" i="14"/>
  <c r="D168"/>
  <c r="A169"/>
  <c r="F168"/>
  <c r="C168"/>
  <c r="E168"/>
  <c r="A169" i="5"/>
  <c r="B168"/>
  <c r="D168"/>
  <c r="C168"/>
  <c r="E168"/>
  <c r="F168"/>
  <c r="F169" l="1"/>
  <c r="E169"/>
  <c r="C169"/>
  <c r="A170"/>
  <c r="B169"/>
  <c r="D169"/>
  <c r="B169" i="14"/>
  <c r="D169"/>
  <c r="F169"/>
  <c r="A170"/>
  <c r="E169"/>
  <c r="C169"/>
  <c r="B88"/>
  <c r="B78" i="5"/>
  <c r="B163" i="15"/>
  <c r="E163"/>
  <c r="A164"/>
  <c r="C163"/>
  <c r="F163"/>
  <c r="D163"/>
  <c r="F88" i="14"/>
  <c r="C89" s="1"/>
  <c r="F78" i="5"/>
  <c r="C79" s="1"/>
  <c r="D79" l="1"/>
  <c r="E79" s="1"/>
  <c r="D89" i="14"/>
  <c r="E89" s="1"/>
  <c r="F164" i="15"/>
  <c r="E164"/>
  <c r="A165"/>
  <c r="C164"/>
  <c r="D164"/>
  <c r="B164"/>
  <c r="B170" i="14"/>
  <c r="E170"/>
  <c r="F170"/>
  <c r="A171"/>
  <c r="D170"/>
  <c r="C170"/>
  <c r="C170" i="5"/>
  <c r="F170"/>
  <c r="D170"/>
  <c r="A171"/>
  <c r="E170"/>
  <c r="B170"/>
  <c r="F165" i="15" l="1"/>
  <c r="C165"/>
  <c r="B165"/>
  <c r="D165"/>
  <c r="E165"/>
  <c r="A166"/>
  <c r="F89" i="14"/>
  <c r="C90" s="1"/>
  <c r="F79" i="5"/>
  <c r="C80" s="1"/>
  <c r="D171"/>
  <c r="B171"/>
  <c r="E171"/>
  <c r="C171"/>
  <c r="F171"/>
  <c r="A172"/>
  <c r="C171" i="14"/>
  <c r="D171"/>
  <c r="F171"/>
  <c r="E171"/>
  <c r="A172"/>
  <c r="B171"/>
  <c r="B89"/>
  <c r="B79" i="5"/>
  <c r="B172" i="14" l="1"/>
  <c r="C172"/>
  <c r="E172"/>
  <c r="D172"/>
  <c r="A173"/>
  <c r="F172"/>
  <c r="D80" i="5"/>
  <c r="E80" s="1"/>
  <c r="D90" i="14"/>
  <c r="E90" s="1"/>
  <c r="A173" i="5"/>
  <c r="F172"/>
  <c r="D172"/>
  <c r="C172"/>
  <c r="E172"/>
  <c r="B172"/>
  <c r="B166" i="15"/>
  <c r="E166"/>
  <c r="C166"/>
  <c r="F166"/>
  <c r="A167"/>
  <c r="D166"/>
  <c r="B90" i="14" l="1"/>
  <c r="D167" i="15"/>
  <c r="C167"/>
  <c r="A168"/>
  <c r="F167"/>
  <c r="E167"/>
  <c r="B167"/>
  <c r="F173" i="5"/>
  <c r="D173"/>
  <c r="E173"/>
  <c r="A174"/>
  <c r="C173"/>
  <c r="B173"/>
  <c r="F90" i="14"/>
  <c r="C91" s="1"/>
  <c r="D173"/>
  <c r="E173"/>
  <c r="B173"/>
  <c r="C173"/>
  <c r="A174"/>
  <c r="F173"/>
  <c r="B80" i="5"/>
  <c r="F80"/>
  <c r="C81" s="1"/>
  <c r="B174" i="14" l="1"/>
  <c r="D174"/>
  <c r="F174"/>
  <c r="A175"/>
  <c r="E174"/>
  <c r="C174"/>
  <c r="D91"/>
  <c r="E91" s="1"/>
  <c r="B168" i="15"/>
  <c r="A169"/>
  <c r="E168"/>
  <c r="F168"/>
  <c r="D168"/>
  <c r="C168"/>
  <c r="D81" i="5"/>
  <c r="E81" s="1"/>
  <c r="E174"/>
  <c r="C174"/>
  <c r="B174"/>
  <c r="A175"/>
  <c r="F174"/>
  <c r="D174"/>
  <c r="B91" i="14" l="1"/>
  <c r="B81" i="5"/>
  <c r="F81"/>
  <c r="C82" s="1"/>
  <c r="F91" i="14"/>
  <c r="C92" s="1"/>
  <c r="B175" i="5"/>
  <c r="E175"/>
  <c r="D175"/>
  <c r="A176"/>
  <c r="F175"/>
  <c r="C175"/>
  <c r="A170" i="15"/>
  <c r="F169"/>
  <c r="B169"/>
  <c r="C169"/>
  <c r="D169"/>
  <c r="E169"/>
  <c r="A176" i="14"/>
  <c r="D175"/>
  <c r="C175"/>
  <c r="B175"/>
  <c r="E175"/>
  <c r="F175"/>
  <c r="F170" i="15" l="1"/>
  <c r="E170"/>
  <c r="A171"/>
  <c r="D170"/>
  <c r="C170"/>
  <c r="B170"/>
  <c r="D92" i="14"/>
  <c r="E92" s="1"/>
  <c r="D82" i="5"/>
  <c r="E82" s="1"/>
  <c r="A177" i="14"/>
  <c r="F176"/>
  <c r="B176"/>
  <c r="C176"/>
  <c r="E176"/>
  <c r="D176"/>
  <c r="A177" i="5"/>
  <c r="C176"/>
  <c r="D176"/>
  <c r="E176"/>
  <c r="B176"/>
  <c r="F176"/>
  <c r="B92" i="14" l="1"/>
  <c r="D177" i="5"/>
  <c r="B177"/>
  <c r="A178"/>
  <c r="E177"/>
  <c r="F177"/>
  <c r="C177"/>
  <c r="C177" i="14"/>
  <c r="A178"/>
  <c r="F177"/>
  <c r="B177"/>
  <c r="E177"/>
  <c r="D177"/>
  <c r="F92"/>
  <c r="C93" s="1"/>
  <c r="F171" i="15"/>
  <c r="D171"/>
  <c r="B171"/>
  <c r="C171"/>
  <c r="A172"/>
  <c r="E171"/>
  <c r="B82" i="5"/>
  <c r="F82"/>
  <c r="C83" s="1"/>
  <c r="B172" i="15" l="1"/>
  <c r="C172"/>
  <c r="E172"/>
  <c r="F172"/>
  <c r="A173"/>
  <c r="D172"/>
  <c r="D93" i="14"/>
  <c r="E93" s="1"/>
  <c r="E178" i="5"/>
  <c r="A179"/>
  <c r="B178"/>
  <c r="D178"/>
  <c r="F178"/>
  <c r="C178"/>
  <c r="D83"/>
  <c r="E83" s="1"/>
  <c r="C178" i="14"/>
  <c r="B178"/>
  <c r="F178"/>
  <c r="D178"/>
  <c r="E178"/>
  <c r="A179"/>
  <c r="A174" i="15" l="1"/>
  <c r="F173"/>
  <c r="E173"/>
  <c r="B173"/>
  <c r="C173"/>
  <c r="D173"/>
  <c r="B83" i="5"/>
  <c r="B93" i="14"/>
  <c r="E179"/>
  <c r="C179"/>
  <c r="A180"/>
  <c r="B179"/>
  <c r="F179"/>
  <c r="D179"/>
  <c r="F83" i="5"/>
  <c r="C84" s="1"/>
  <c r="A180"/>
  <c r="B179"/>
  <c r="C179"/>
  <c r="D179"/>
  <c r="E179"/>
  <c r="F179"/>
  <c r="F93" i="14"/>
  <c r="C94" s="1"/>
  <c r="D94" l="1"/>
  <c r="E94" s="1"/>
  <c r="D180" i="5"/>
  <c r="F180"/>
  <c r="C180"/>
  <c r="E180"/>
  <c r="A181"/>
  <c r="B180"/>
  <c r="D84"/>
  <c r="E84" s="1"/>
  <c r="B180" i="14"/>
  <c r="D180"/>
  <c r="F180"/>
  <c r="E180"/>
  <c r="A181"/>
  <c r="C180"/>
  <c r="A175" i="15"/>
  <c r="B174"/>
  <c r="E174"/>
  <c r="C174"/>
  <c r="F174"/>
  <c r="D174"/>
  <c r="B175" l="1"/>
  <c r="A176"/>
  <c r="E175"/>
  <c r="C175"/>
  <c r="D175"/>
  <c r="F175"/>
  <c r="A182" i="14"/>
  <c r="B181"/>
  <c r="D181"/>
  <c r="F181"/>
  <c r="C181"/>
  <c r="E181"/>
  <c r="D181" i="5"/>
  <c r="A182"/>
  <c r="C181"/>
  <c r="F181"/>
  <c r="E181"/>
  <c r="B181"/>
  <c r="B84"/>
  <c r="B94" i="14"/>
  <c r="F84" i="5"/>
  <c r="C85" s="1"/>
  <c r="F94" i="14"/>
  <c r="C95" s="1"/>
  <c r="D95" l="1"/>
  <c r="E95" s="1"/>
  <c r="D85" i="5"/>
  <c r="E85" s="1"/>
  <c r="C182" i="14"/>
  <c r="D182"/>
  <c r="E182"/>
  <c r="F182"/>
  <c r="A183"/>
  <c r="B182"/>
  <c r="B182" i="5"/>
  <c r="C182"/>
  <c r="A183"/>
  <c r="F182"/>
  <c r="D182"/>
  <c r="E182"/>
  <c r="A177" i="15"/>
  <c r="D176"/>
  <c r="E176"/>
  <c r="C176"/>
  <c r="F176"/>
  <c r="B176"/>
  <c r="E177" l="1"/>
  <c r="F177"/>
  <c r="A178"/>
  <c r="B177"/>
  <c r="D177"/>
  <c r="C177"/>
  <c r="E183" i="5"/>
  <c r="B183"/>
  <c r="C183"/>
  <c r="F183"/>
  <c r="D183"/>
  <c r="A184"/>
  <c r="D183" i="14"/>
  <c r="C183"/>
  <c r="E183"/>
  <c r="B183"/>
  <c r="F183"/>
  <c r="A184"/>
  <c r="B85" i="5"/>
  <c r="B95" i="14"/>
  <c r="F85" i="5"/>
  <c r="C86" s="1"/>
  <c r="F95" i="14"/>
  <c r="C96" s="1"/>
  <c r="D96" l="1"/>
  <c r="E96" s="1"/>
  <c r="D86" i="5"/>
  <c r="E86" s="1"/>
  <c r="F178" i="15"/>
  <c r="C178"/>
  <c r="D178"/>
  <c r="E178"/>
  <c r="B178"/>
  <c r="A179"/>
  <c r="F184" i="14"/>
  <c r="B184"/>
  <c r="C184"/>
  <c r="E184"/>
  <c r="A185"/>
  <c r="D184"/>
  <c r="F184" i="5"/>
  <c r="B184"/>
  <c r="D184"/>
  <c r="A185"/>
  <c r="E184"/>
  <c r="C184"/>
  <c r="B86" l="1"/>
  <c r="C185" i="14"/>
  <c r="A186"/>
  <c r="E185"/>
  <c r="B185"/>
  <c r="D185"/>
  <c r="F185"/>
  <c r="F86" i="5"/>
  <c r="C87" s="1"/>
  <c r="B96" i="14"/>
  <c r="D185" i="5"/>
  <c r="B185"/>
  <c r="E185"/>
  <c r="F185"/>
  <c r="C185"/>
  <c r="A186"/>
  <c r="A180" i="15"/>
  <c r="F179"/>
  <c r="C179"/>
  <c r="B179"/>
  <c r="D179"/>
  <c r="E179"/>
  <c r="F96" i="14"/>
  <c r="C97" s="1"/>
  <c r="E186" i="5" l="1"/>
  <c r="C186"/>
  <c r="F186"/>
  <c r="B186"/>
  <c r="D186"/>
  <c r="A187"/>
  <c r="D87"/>
  <c r="E87" s="1"/>
  <c r="D97" i="14"/>
  <c r="E97" s="1"/>
  <c r="E180" i="15"/>
  <c r="D180"/>
  <c r="B180"/>
  <c r="F180"/>
  <c r="C180"/>
  <c r="A181"/>
  <c r="D186" i="14"/>
  <c r="E186"/>
  <c r="F186"/>
  <c r="C186"/>
  <c r="B186"/>
  <c r="A187"/>
  <c r="B97" l="1"/>
  <c r="A188"/>
  <c r="B187"/>
  <c r="F187"/>
  <c r="E187"/>
  <c r="D187"/>
  <c r="C187"/>
  <c r="F97"/>
  <c r="C98" s="1"/>
  <c r="B87" i="5"/>
  <c r="C181" i="15"/>
  <c r="F181"/>
  <c r="B181"/>
  <c r="E181"/>
  <c r="A182"/>
  <c r="D181"/>
  <c r="F87" i="5"/>
  <c r="C88" s="1"/>
  <c r="B187"/>
  <c r="C187"/>
  <c r="A188"/>
  <c r="F187"/>
  <c r="E187"/>
  <c r="D187"/>
  <c r="D98" i="14" l="1"/>
  <c r="E98" s="1"/>
  <c r="F188"/>
  <c r="C188"/>
  <c r="D188"/>
  <c r="B188"/>
  <c r="E188"/>
  <c r="A189"/>
  <c r="C188" i="5"/>
  <c r="D188"/>
  <c r="F188"/>
  <c r="E188"/>
  <c r="A189"/>
  <c r="B188"/>
  <c r="D88"/>
  <c r="E88" s="1"/>
  <c r="C182" i="15"/>
  <c r="D182"/>
  <c r="A183"/>
  <c r="B182"/>
  <c r="E182"/>
  <c r="F182"/>
  <c r="B88" i="5" l="1"/>
  <c r="A184" i="15"/>
  <c r="B183"/>
  <c r="D183"/>
  <c r="F183"/>
  <c r="C183"/>
  <c r="E183"/>
  <c r="F88" i="5"/>
  <c r="C89" s="1"/>
  <c r="F189"/>
  <c r="B189"/>
  <c r="A190"/>
  <c r="D189"/>
  <c r="C189"/>
  <c r="E189"/>
  <c r="F98" i="14"/>
  <c r="C99" s="1"/>
  <c r="B189"/>
  <c r="D189"/>
  <c r="C189"/>
  <c r="E189"/>
  <c r="A190"/>
  <c r="F189"/>
  <c r="B98"/>
  <c r="D99" l="1"/>
  <c r="E99" s="1"/>
  <c r="F190" i="5"/>
  <c r="E190"/>
  <c r="D190"/>
  <c r="B190"/>
  <c r="C190"/>
  <c r="A191"/>
  <c r="D89"/>
  <c r="E89" s="1"/>
  <c r="E184" i="15"/>
  <c r="A185"/>
  <c r="F184"/>
  <c r="C184"/>
  <c r="D184"/>
  <c r="B184"/>
  <c r="C190" i="14"/>
  <c r="F190"/>
  <c r="A191"/>
  <c r="E190"/>
  <c r="D190"/>
  <c r="B190"/>
  <c r="B99" l="1"/>
  <c r="A192"/>
  <c r="B191"/>
  <c r="D191"/>
  <c r="F191"/>
  <c r="E191"/>
  <c r="C191"/>
  <c r="F99"/>
  <c r="C100" s="1"/>
  <c r="B89" i="5"/>
  <c r="D185" i="15"/>
  <c r="A186"/>
  <c r="B185"/>
  <c r="F185"/>
  <c r="C185"/>
  <c r="E185"/>
  <c r="F89" i="5"/>
  <c r="C90" s="1"/>
  <c r="A192"/>
  <c r="D191"/>
  <c r="E191"/>
  <c r="C191"/>
  <c r="B191"/>
  <c r="F191"/>
  <c r="B186" i="15" l="1"/>
  <c r="E186"/>
  <c r="D186"/>
  <c r="C186"/>
  <c r="A187"/>
  <c r="F186"/>
  <c r="D100" i="14"/>
  <c r="E100" s="1"/>
  <c r="B192"/>
  <c r="C192"/>
  <c r="E192"/>
  <c r="D192"/>
  <c r="A193"/>
  <c r="F192"/>
  <c r="F192" i="5"/>
  <c r="C192"/>
  <c r="A193"/>
  <c r="B192"/>
  <c r="E192"/>
  <c r="D192"/>
  <c r="D90"/>
  <c r="E90" s="1"/>
  <c r="B90" l="1"/>
  <c r="B100" i="14"/>
  <c r="F90" i="5"/>
  <c r="C91" s="1"/>
  <c r="C193"/>
  <c r="F193"/>
  <c r="E193"/>
  <c r="D193"/>
  <c r="A194"/>
  <c r="B193"/>
  <c r="F193" i="14"/>
  <c r="C193"/>
  <c r="A194"/>
  <c r="E193"/>
  <c r="B193"/>
  <c r="D193"/>
  <c r="F100"/>
  <c r="C101" s="1"/>
  <c r="C187" i="15"/>
  <c r="F187"/>
  <c r="B187"/>
  <c r="D187"/>
  <c r="E187"/>
  <c r="A188"/>
  <c r="D101" i="14" l="1"/>
  <c r="E101" s="1"/>
  <c r="A195"/>
  <c r="F194"/>
  <c r="B194"/>
  <c r="C194"/>
  <c r="E194"/>
  <c r="D194"/>
  <c r="D194" i="5"/>
  <c r="B194"/>
  <c r="F194"/>
  <c r="A195"/>
  <c r="C194"/>
  <c r="E194"/>
  <c r="D91"/>
  <c r="E91" s="1"/>
  <c r="E188" i="15"/>
  <c r="C188"/>
  <c r="F188"/>
  <c r="D188"/>
  <c r="A189"/>
  <c r="B188"/>
  <c r="B91" i="5" l="1"/>
  <c r="D189" i="15"/>
  <c r="B189"/>
  <c r="F189"/>
  <c r="A190"/>
  <c r="E189"/>
  <c r="C189"/>
  <c r="F91" i="5"/>
  <c r="C92" s="1"/>
  <c r="E195" i="14"/>
  <c r="C195"/>
  <c r="F195"/>
  <c r="D195"/>
  <c r="A196"/>
  <c r="B195"/>
  <c r="F101"/>
  <c r="C102" s="1"/>
  <c r="E195" i="5"/>
  <c r="F195"/>
  <c r="B195"/>
  <c r="A196"/>
  <c r="C195"/>
  <c r="D195"/>
  <c r="B101" i="14"/>
  <c r="D102" l="1"/>
  <c r="E102" s="1"/>
  <c r="F196"/>
  <c r="A197"/>
  <c r="E196"/>
  <c r="D196"/>
  <c r="C196"/>
  <c r="B196"/>
  <c r="D92" i="5"/>
  <c r="E92" s="1"/>
  <c r="E196"/>
  <c r="D196"/>
  <c r="B196"/>
  <c r="A197"/>
  <c r="C196"/>
  <c r="F196"/>
  <c r="E190" i="15"/>
  <c r="C190"/>
  <c r="D190"/>
  <c r="F190"/>
  <c r="B190"/>
  <c r="A191"/>
  <c r="D191" l="1"/>
  <c r="E191"/>
  <c r="F191"/>
  <c r="B191"/>
  <c r="A192"/>
  <c r="C191"/>
  <c r="B92" i="5"/>
  <c r="B102" i="14"/>
  <c r="C197" i="5"/>
  <c r="D197"/>
  <c r="E197"/>
  <c r="A198"/>
  <c r="B197"/>
  <c r="F197"/>
  <c r="F92"/>
  <c r="C93" s="1"/>
  <c r="B197" i="14"/>
  <c r="C197"/>
  <c r="F197"/>
  <c r="E197"/>
  <c r="A198"/>
  <c r="D197"/>
  <c r="F102"/>
  <c r="C103" s="1"/>
  <c r="D103" l="1"/>
  <c r="E103" s="1"/>
  <c r="D93" i="5"/>
  <c r="E93" s="1"/>
  <c r="F192" i="15"/>
  <c r="E192"/>
  <c r="D192"/>
  <c r="B192"/>
  <c r="C192"/>
  <c r="A193"/>
  <c r="B198" i="14"/>
  <c r="A199"/>
  <c r="D198"/>
  <c r="E198"/>
  <c r="C198"/>
  <c r="F198"/>
  <c r="A199" i="5"/>
  <c r="F198"/>
  <c r="C198"/>
  <c r="B198"/>
  <c r="E198"/>
  <c r="D198"/>
  <c r="B93" l="1"/>
  <c r="B103" i="14"/>
  <c r="D199" i="5"/>
  <c r="C199"/>
  <c r="A200"/>
  <c r="E199"/>
  <c r="F199"/>
  <c r="B199"/>
  <c r="F93"/>
  <c r="C94" s="1"/>
  <c r="F103" i="14"/>
  <c r="C104" s="1"/>
  <c r="D199"/>
  <c r="E199"/>
  <c r="F199"/>
  <c r="B199"/>
  <c r="A200"/>
  <c r="C199"/>
  <c r="C193" i="15"/>
  <c r="B193"/>
  <c r="D193"/>
  <c r="A194"/>
  <c r="E193"/>
  <c r="F193"/>
  <c r="A201" i="14" l="1"/>
  <c r="C200"/>
  <c r="E200"/>
  <c r="D200"/>
  <c r="F200"/>
  <c r="B200"/>
  <c r="D104"/>
  <c r="E104" s="1"/>
  <c r="D94" i="5"/>
  <c r="E94" s="1"/>
  <c r="B94"/>
  <c r="B200"/>
  <c r="D200"/>
  <c r="E200"/>
  <c r="F200"/>
  <c r="A201"/>
  <c r="C200"/>
  <c r="E194" i="15"/>
  <c r="A195"/>
  <c r="B194"/>
  <c r="C194"/>
  <c r="D194"/>
  <c r="F194"/>
  <c r="B201" i="5" l="1"/>
  <c r="C201"/>
  <c r="E201"/>
  <c r="A202"/>
  <c r="F201"/>
  <c r="D201"/>
  <c r="F94"/>
  <c r="C95" s="1"/>
  <c r="C201" i="14"/>
  <c r="D201"/>
  <c r="F201"/>
  <c r="B201"/>
  <c r="E201"/>
  <c r="A202"/>
  <c r="B104"/>
  <c r="F195" i="15"/>
  <c r="E195"/>
  <c r="C195"/>
  <c r="D195"/>
  <c r="A196"/>
  <c r="B195"/>
  <c r="F104" i="14"/>
  <c r="C105" s="1"/>
  <c r="D95" i="5" l="1"/>
  <c r="E95" s="1"/>
  <c r="D105" i="14"/>
  <c r="E105" s="1"/>
  <c r="D196" i="15"/>
  <c r="B196"/>
  <c r="E196"/>
  <c r="F196"/>
  <c r="C196"/>
  <c r="A197"/>
  <c r="E202" i="14"/>
  <c r="B202"/>
  <c r="C202"/>
  <c r="D202"/>
  <c r="F202"/>
  <c r="A203"/>
  <c r="B202" i="5"/>
  <c r="E202"/>
  <c r="A203"/>
  <c r="D202"/>
  <c r="C202"/>
  <c r="F202"/>
  <c r="B95" l="1"/>
  <c r="C203"/>
  <c r="D203"/>
  <c r="A204"/>
  <c r="F203"/>
  <c r="B203"/>
  <c r="E203"/>
  <c r="F95"/>
  <c r="C96" s="1"/>
  <c r="B105" i="14"/>
  <c r="A204"/>
  <c r="D203"/>
  <c r="C203"/>
  <c r="B203"/>
  <c r="F203"/>
  <c r="E203"/>
  <c r="C197" i="15"/>
  <c r="E197"/>
  <c r="F197"/>
  <c r="D197"/>
  <c r="A198"/>
  <c r="B197"/>
  <c r="F105" i="14"/>
  <c r="C106" s="1"/>
  <c r="D96" i="5" l="1"/>
  <c r="E96" s="1"/>
  <c r="B204"/>
  <c r="F204"/>
  <c r="A205"/>
  <c r="D204"/>
  <c r="E204"/>
  <c r="C204"/>
  <c r="D106" i="14"/>
  <c r="E106" s="1"/>
  <c r="E198" i="15"/>
  <c r="D198"/>
  <c r="F198"/>
  <c r="A199"/>
  <c r="C198"/>
  <c r="B198"/>
  <c r="C204" i="14"/>
  <c r="D204"/>
  <c r="B204"/>
  <c r="E204"/>
  <c r="A205"/>
  <c r="F204"/>
  <c r="B106" l="1"/>
  <c r="A206"/>
  <c r="D205"/>
  <c r="E205"/>
  <c r="C205"/>
  <c r="F205"/>
  <c r="B205"/>
  <c r="F106"/>
  <c r="C107" s="1"/>
  <c r="B205" i="5"/>
  <c r="D205"/>
  <c r="A206"/>
  <c r="E205"/>
  <c r="F205"/>
  <c r="C205"/>
  <c r="B96"/>
  <c r="E199" i="15"/>
  <c r="B199"/>
  <c r="D199"/>
  <c r="C199"/>
  <c r="F199"/>
  <c r="A200"/>
  <c r="F96" i="5"/>
  <c r="C97" s="1"/>
  <c r="C200" i="15" l="1"/>
  <c r="A201"/>
  <c r="E200"/>
  <c r="F200"/>
  <c r="D200"/>
  <c r="B200"/>
  <c r="E206" i="5"/>
  <c r="F206"/>
  <c r="C206"/>
  <c r="A207"/>
  <c r="B206"/>
  <c r="D206"/>
  <c r="D107" i="14"/>
  <c r="E107" s="1"/>
  <c r="F206"/>
  <c r="B206"/>
  <c r="C206"/>
  <c r="E206"/>
  <c r="A207"/>
  <c r="D206"/>
  <c r="D97" i="5"/>
  <c r="E97" s="1"/>
  <c r="B97" l="1"/>
  <c r="B107" i="14"/>
  <c r="F97" i="5"/>
  <c r="C98" s="1"/>
  <c r="A208" i="14"/>
  <c r="E207"/>
  <c r="C207"/>
  <c r="D207"/>
  <c r="B207"/>
  <c r="F207"/>
  <c r="F107"/>
  <c r="C108" s="1"/>
  <c r="D207" i="5"/>
  <c r="A208"/>
  <c r="E207"/>
  <c r="F207"/>
  <c r="C207"/>
  <c r="B207"/>
  <c r="E201" i="15"/>
  <c r="D201"/>
  <c r="B201"/>
  <c r="F201"/>
  <c r="C201"/>
  <c r="A202"/>
  <c r="D108" i="14" l="1"/>
  <c r="E108" s="1"/>
  <c r="D208"/>
  <c r="B208"/>
  <c r="C208"/>
  <c r="E208"/>
  <c r="A209"/>
  <c r="F208"/>
  <c r="D98" i="5"/>
  <c r="E98" s="1"/>
  <c r="B98"/>
  <c r="D202" i="15"/>
  <c r="A203"/>
  <c r="E202"/>
  <c r="C202"/>
  <c r="B202"/>
  <c r="F202"/>
  <c r="D208" i="5"/>
  <c r="E208"/>
  <c r="C208"/>
  <c r="F208"/>
  <c r="B208"/>
  <c r="A209"/>
  <c r="F98" l="1"/>
  <c r="C99" s="1"/>
  <c r="E209" i="14"/>
  <c r="B209"/>
  <c r="C209"/>
  <c r="A210"/>
  <c r="F209"/>
  <c r="D209"/>
  <c r="F108"/>
  <c r="C109" s="1"/>
  <c r="C209" i="5"/>
  <c r="A210"/>
  <c r="E209"/>
  <c r="D209"/>
  <c r="F209"/>
  <c r="B209"/>
  <c r="C203" i="15"/>
  <c r="E203"/>
  <c r="A204"/>
  <c r="F203"/>
  <c r="D203"/>
  <c r="B203"/>
  <c r="B108" i="14"/>
  <c r="D109" l="1"/>
  <c r="E109" s="1"/>
  <c r="D99" i="5"/>
  <c r="E99" s="1"/>
  <c r="F204" i="15"/>
  <c r="D204"/>
  <c r="A205"/>
  <c r="E204"/>
  <c r="C204"/>
  <c r="B204"/>
  <c r="F210" i="5"/>
  <c r="D210"/>
  <c r="E210"/>
  <c r="B210"/>
  <c r="A211"/>
  <c r="C210"/>
  <c r="F210" i="14"/>
  <c r="B210"/>
  <c r="D210"/>
  <c r="C210"/>
  <c r="A211"/>
  <c r="E210"/>
  <c r="B109" l="1"/>
  <c r="F99" i="5"/>
  <c r="C100" s="1"/>
  <c r="F211" i="14"/>
  <c r="D211"/>
  <c r="B211"/>
  <c r="A212"/>
  <c r="E211"/>
  <c r="C211"/>
  <c r="C211" i="5"/>
  <c r="E211"/>
  <c r="D211"/>
  <c r="A212"/>
  <c r="B211"/>
  <c r="F211"/>
  <c r="D205" i="15"/>
  <c r="E205"/>
  <c r="C205"/>
  <c r="F205"/>
  <c r="A206"/>
  <c r="B205"/>
  <c r="F109" i="14"/>
  <c r="C110" s="1"/>
  <c r="B99" i="5"/>
  <c r="C212" l="1"/>
  <c r="F212"/>
  <c r="D212"/>
  <c r="E212"/>
  <c r="B212"/>
  <c r="A213"/>
  <c r="F212" i="14"/>
  <c r="E212"/>
  <c r="B212"/>
  <c r="D212"/>
  <c r="A213"/>
  <c r="C212"/>
  <c r="D110"/>
  <c r="E110" s="1"/>
  <c r="E206" i="15"/>
  <c r="C206"/>
  <c r="F206"/>
  <c r="D206"/>
  <c r="B206"/>
  <c r="A207"/>
  <c r="D100" i="5"/>
  <c r="E100" s="1"/>
  <c r="F100" l="1"/>
  <c r="C101" s="1"/>
  <c r="F207" i="15"/>
  <c r="B207"/>
  <c r="E207"/>
  <c r="D207"/>
  <c r="A208"/>
  <c r="C207"/>
  <c r="F110" i="14"/>
  <c r="C111" s="1"/>
  <c r="D213" i="5"/>
  <c r="A214"/>
  <c r="C213"/>
  <c r="B213"/>
  <c r="F213"/>
  <c r="E213"/>
  <c r="F213" i="14"/>
  <c r="D213"/>
  <c r="C213"/>
  <c r="E213"/>
  <c r="A214"/>
  <c r="B213"/>
  <c r="B100" i="5"/>
  <c r="B110" i="14"/>
  <c r="C214" i="5" l="1"/>
  <c r="A215"/>
  <c r="D214"/>
  <c r="F214"/>
  <c r="E214"/>
  <c r="B214"/>
  <c r="F214" i="14"/>
  <c r="E214"/>
  <c r="D214"/>
  <c r="B214"/>
  <c r="A215"/>
  <c r="C214"/>
  <c r="D111"/>
  <c r="E111" s="1"/>
  <c r="A209" i="15"/>
  <c r="D208"/>
  <c r="C208"/>
  <c r="B208"/>
  <c r="E208"/>
  <c r="F208"/>
  <c r="D101" i="5"/>
  <c r="E101" s="1"/>
  <c r="B101" l="1"/>
  <c r="F111" i="14"/>
  <c r="C112" s="1"/>
  <c r="B215" i="5"/>
  <c r="D215"/>
  <c r="F215"/>
  <c r="C215"/>
  <c r="A216"/>
  <c r="E215"/>
  <c r="F101"/>
  <c r="C102" s="1"/>
  <c r="E209" i="15"/>
  <c r="F209"/>
  <c r="D209"/>
  <c r="A210"/>
  <c r="B209"/>
  <c r="C209"/>
  <c r="C215" i="14"/>
  <c r="A216"/>
  <c r="D215"/>
  <c r="B215"/>
  <c r="F215"/>
  <c r="E215"/>
  <c r="B111"/>
  <c r="D102" i="5" l="1"/>
  <c r="E102" s="1"/>
  <c r="D216"/>
  <c r="E216"/>
  <c r="F216"/>
  <c r="A217"/>
  <c r="B216"/>
  <c r="C216"/>
  <c r="D112" i="14"/>
  <c r="E112" s="1"/>
  <c r="B216"/>
  <c r="F216"/>
  <c r="A217"/>
  <c r="D216"/>
  <c r="C216"/>
  <c r="E216"/>
  <c r="B210" i="15"/>
  <c r="E210"/>
  <c r="F210"/>
  <c r="C210"/>
  <c r="D210"/>
  <c r="A211"/>
  <c r="B112" i="14" l="1"/>
  <c r="B217"/>
  <c r="F217"/>
  <c r="D217"/>
  <c r="C217"/>
  <c r="E217"/>
  <c r="A218"/>
  <c r="F112"/>
  <c r="C113" s="1"/>
  <c r="B102" i="5"/>
  <c r="B211" i="15"/>
  <c r="C211"/>
  <c r="D211"/>
  <c r="F211"/>
  <c r="A212"/>
  <c r="E211"/>
  <c r="D217" i="5"/>
  <c r="A218"/>
  <c r="C217"/>
  <c r="E217"/>
  <c r="F217"/>
  <c r="B217"/>
  <c r="F102"/>
  <c r="C103" s="1"/>
  <c r="E218" l="1"/>
  <c r="D218"/>
  <c r="C218"/>
  <c r="F218"/>
  <c r="B218"/>
  <c r="A219"/>
  <c r="D113" i="14"/>
  <c r="E113" s="1"/>
  <c r="D103" i="5"/>
  <c r="E103" s="1"/>
  <c r="E212" i="15"/>
  <c r="D212"/>
  <c r="A213"/>
  <c r="C212"/>
  <c r="B212"/>
  <c r="F212"/>
  <c r="B218" i="14"/>
  <c r="F218"/>
  <c r="D218"/>
  <c r="E218"/>
  <c r="C218"/>
  <c r="A219"/>
  <c r="B103" i="5" l="1"/>
  <c r="D213" i="15"/>
  <c r="C213"/>
  <c r="B213"/>
  <c r="A214"/>
  <c r="E213"/>
  <c r="F213"/>
  <c r="F103" i="5"/>
  <c r="C104" s="1"/>
  <c r="B113" i="14"/>
  <c r="D219"/>
  <c r="A220"/>
  <c r="B219"/>
  <c r="F219"/>
  <c r="C219"/>
  <c r="E219"/>
  <c r="F113"/>
  <c r="C114" s="1"/>
  <c r="E219" i="5"/>
  <c r="D219"/>
  <c r="B219"/>
  <c r="C219"/>
  <c r="A220"/>
  <c r="F219"/>
  <c r="B220" l="1"/>
  <c r="F220"/>
  <c r="E220"/>
  <c r="D220"/>
  <c r="A221"/>
  <c r="C220"/>
  <c r="D220" i="14"/>
  <c r="E220"/>
  <c r="C220"/>
  <c r="A221"/>
  <c r="F220"/>
  <c r="B220"/>
  <c r="D104" i="5"/>
  <c r="E104" s="1"/>
  <c r="D114" i="14"/>
  <c r="E114" s="1"/>
  <c r="F214" i="15"/>
  <c r="B214"/>
  <c r="C214"/>
  <c r="E214"/>
  <c r="A215"/>
  <c r="D214"/>
  <c r="B104" i="5" l="1"/>
  <c r="B215" i="15"/>
  <c r="F215"/>
  <c r="C215"/>
  <c r="E215"/>
  <c r="D215"/>
  <c r="A216"/>
  <c r="F114" i="14"/>
  <c r="C115" s="1"/>
  <c r="F221" i="5"/>
  <c r="A222"/>
  <c r="D221"/>
  <c r="E221"/>
  <c r="B221"/>
  <c r="C221"/>
  <c r="F104"/>
  <c r="C105" s="1"/>
  <c r="B221" i="14"/>
  <c r="D221"/>
  <c r="E221"/>
  <c r="A222"/>
  <c r="C221"/>
  <c r="F221"/>
  <c r="B114"/>
  <c r="D105" i="5" l="1"/>
  <c r="E105" s="1"/>
  <c r="D115" i="14"/>
  <c r="E115" s="1"/>
  <c r="F115" s="1"/>
  <c r="E222"/>
  <c r="C222"/>
  <c r="B222"/>
  <c r="D222"/>
  <c r="A223"/>
  <c r="F222"/>
  <c r="B222" i="5"/>
  <c r="E222"/>
  <c r="C222"/>
  <c r="D222"/>
  <c r="F222"/>
  <c r="A223"/>
  <c r="A217" i="15"/>
  <c r="E216"/>
  <c r="D216"/>
  <c r="C216"/>
  <c r="F216"/>
  <c r="B216"/>
  <c r="B217" l="1"/>
  <c r="A218"/>
  <c r="F217"/>
  <c r="E217"/>
  <c r="D217"/>
  <c r="C217"/>
  <c r="E223" i="14"/>
  <c r="C223"/>
  <c r="F223"/>
  <c r="B223"/>
  <c r="D223"/>
  <c r="A224"/>
  <c r="B115"/>
  <c r="B105" i="5"/>
  <c r="B223"/>
  <c r="A224"/>
  <c r="E223"/>
  <c r="C223"/>
  <c r="D223"/>
  <c r="F223"/>
  <c r="F105"/>
  <c r="C106" s="1"/>
  <c r="D106" l="1"/>
  <c r="E106" s="1"/>
  <c r="F224"/>
  <c r="E224"/>
  <c r="C224"/>
  <c r="A225"/>
  <c r="D224"/>
  <c r="B224"/>
  <c r="A225" i="14"/>
  <c r="E224"/>
  <c r="F224"/>
  <c r="C224"/>
  <c r="B224"/>
  <c r="D224"/>
  <c r="E218" i="15"/>
  <c r="B218"/>
  <c r="D218"/>
  <c r="A219"/>
  <c r="F218"/>
  <c r="C218"/>
  <c r="E225" i="14" l="1"/>
  <c r="B225"/>
  <c r="A226"/>
  <c r="D225"/>
  <c r="C225"/>
  <c r="F225"/>
  <c r="B106" i="5"/>
  <c r="B219" i="15"/>
  <c r="D219"/>
  <c r="E219"/>
  <c r="F219"/>
  <c r="A220"/>
  <c r="C219"/>
  <c r="A226" i="5"/>
  <c r="E225"/>
  <c r="F225"/>
  <c r="B225"/>
  <c r="D225"/>
  <c r="C225"/>
  <c r="F106"/>
  <c r="C107" s="1"/>
  <c r="C226" i="14" l="1"/>
  <c r="E226"/>
  <c r="B226"/>
  <c r="F226"/>
  <c r="A227"/>
  <c r="D226"/>
  <c r="D107" i="5"/>
  <c r="E107" s="1"/>
  <c r="F226"/>
  <c r="B226"/>
  <c r="A227"/>
  <c r="E226"/>
  <c r="D226"/>
  <c r="C226"/>
  <c r="B220" i="15"/>
  <c r="C220"/>
  <c r="D220"/>
  <c r="E220"/>
  <c r="F220"/>
  <c r="A221"/>
  <c r="B107" i="5" l="1"/>
  <c r="F227"/>
  <c r="C227"/>
  <c r="B227"/>
  <c r="D227"/>
  <c r="E227"/>
  <c r="A228"/>
  <c r="F107"/>
  <c r="C108" s="1"/>
  <c r="D227" i="14"/>
  <c r="C227"/>
  <c r="A228"/>
  <c r="E227"/>
  <c r="F227"/>
  <c r="B227"/>
  <c r="C221" i="15"/>
  <c r="E221"/>
  <c r="F221"/>
  <c r="D221"/>
  <c r="B221"/>
  <c r="A222"/>
  <c r="C228" i="14" l="1"/>
  <c r="F228"/>
  <c r="A229"/>
  <c r="B228"/>
  <c r="D228"/>
  <c r="E228"/>
  <c r="D108" i="5"/>
  <c r="E108" s="1"/>
  <c r="E222" i="15"/>
  <c r="D222"/>
  <c r="A223"/>
  <c r="F222"/>
  <c r="C222"/>
  <c r="B222"/>
  <c r="D228" i="5"/>
  <c r="E228"/>
  <c r="F228"/>
  <c r="C228"/>
  <c r="B228"/>
  <c r="A229"/>
  <c r="B108" l="1"/>
  <c r="A230"/>
  <c r="B229"/>
  <c r="F229"/>
  <c r="C229"/>
  <c r="D229"/>
  <c r="E229"/>
  <c r="C223" i="15"/>
  <c r="E223"/>
  <c r="D223"/>
  <c r="B223"/>
  <c r="F223"/>
  <c r="A224"/>
  <c r="F108" i="5"/>
  <c r="C109" s="1"/>
  <c r="E229" i="14"/>
  <c r="F229"/>
  <c r="A230"/>
  <c r="D229"/>
  <c r="C229"/>
  <c r="B229"/>
  <c r="D109" i="5" l="1"/>
  <c r="E109" s="1"/>
  <c r="D230"/>
  <c r="F230"/>
  <c r="C230"/>
  <c r="E230"/>
  <c r="B230"/>
  <c r="A231"/>
  <c r="D230" i="14"/>
  <c r="F230"/>
  <c r="E230"/>
  <c r="B230"/>
  <c r="A231"/>
  <c r="C230"/>
  <c r="C224" i="15"/>
  <c r="F224"/>
  <c r="D224"/>
  <c r="B224"/>
  <c r="A225"/>
  <c r="E224"/>
  <c r="C225" l="1"/>
  <c r="A226"/>
  <c r="D225"/>
  <c r="E225"/>
  <c r="F225"/>
  <c r="B225"/>
  <c r="C231" i="14"/>
  <c r="A232"/>
  <c r="B231"/>
  <c r="D231"/>
  <c r="F231"/>
  <c r="E231"/>
  <c r="B109" i="5"/>
  <c r="A232"/>
  <c r="B231"/>
  <c r="E231"/>
  <c r="D231"/>
  <c r="C231"/>
  <c r="F231"/>
  <c r="F109"/>
  <c r="C110" s="1"/>
  <c r="D110" l="1"/>
  <c r="E110" s="1"/>
  <c r="B232"/>
  <c r="E232"/>
  <c r="D232"/>
  <c r="F232"/>
  <c r="C232"/>
  <c r="A233"/>
  <c r="E232" i="14"/>
  <c r="F232"/>
  <c r="D232"/>
  <c r="B232"/>
  <c r="C232"/>
  <c r="A233"/>
  <c r="D226" i="15"/>
  <c r="E226"/>
  <c r="C226"/>
  <c r="A227"/>
  <c r="F226"/>
  <c r="B226"/>
  <c r="B110" i="5" l="1"/>
  <c r="B227" i="15"/>
  <c r="C227"/>
  <c r="E227"/>
  <c r="A228"/>
  <c r="D227"/>
  <c r="F227"/>
  <c r="F233" i="14"/>
  <c r="E233"/>
  <c r="A234"/>
  <c r="D233"/>
  <c r="C233"/>
  <c r="B233"/>
  <c r="A234" i="5"/>
  <c r="F233"/>
  <c r="B233"/>
  <c r="D233"/>
  <c r="C233"/>
  <c r="E233"/>
  <c r="F110"/>
  <c r="C111" s="1"/>
  <c r="D228" i="15" l="1"/>
  <c r="A229"/>
  <c r="E228"/>
  <c r="C228"/>
  <c r="B228"/>
  <c r="F228"/>
  <c r="D111" i="5"/>
  <c r="E111" s="1"/>
  <c r="C234"/>
  <c r="B234"/>
  <c r="F234"/>
  <c r="D234"/>
  <c r="A235"/>
  <c r="E234"/>
  <c r="F234" i="14"/>
  <c r="C234"/>
  <c r="E234"/>
  <c r="D234"/>
  <c r="A235"/>
  <c r="B234"/>
  <c r="B111" i="5" l="1"/>
  <c r="B235"/>
  <c r="C235"/>
  <c r="D235"/>
  <c r="E235"/>
  <c r="A236"/>
  <c r="F235"/>
  <c r="F111"/>
  <c r="C112" s="1"/>
  <c r="E235" i="14"/>
  <c r="D235"/>
  <c r="A236"/>
  <c r="C235"/>
  <c r="B235"/>
  <c r="F235"/>
  <c r="D229" i="15"/>
  <c r="A230"/>
  <c r="B229"/>
  <c r="C229"/>
  <c r="E229"/>
  <c r="F229"/>
  <c r="D236" i="14" l="1"/>
  <c r="A237"/>
  <c r="C236"/>
  <c r="E236"/>
  <c r="F236"/>
  <c r="B236"/>
  <c r="D112" i="5"/>
  <c r="E112" s="1"/>
  <c r="F236"/>
  <c r="E236"/>
  <c r="A237"/>
  <c r="C236"/>
  <c r="D236"/>
  <c r="B236"/>
  <c r="E230" i="15"/>
  <c r="F230"/>
  <c r="C230"/>
  <c r="D230"/>
  <c r="B230"/>
  <c r="A231"/>
  <c r="A232" l="1"/>
  <c r="F231"/>
  <c r="E231"/>
  <c r="C231"/>
  <c r="D231"/>
  <c r="B231"/>
  <c r="A238" i="5"/>
  <c r="F237"/>
  <c r="B237"/>
  <c r="E237"/>
  <c r="D237"/>
  <c r="C237"/>
  <c r="B112"/>
  <c r="F112"/>
  <c r="C113" s="1"/>
  <c r="E237" i="14"/>
  <c r="F237"/>
  <c r="B237"/>
  <c r="C237"/>
  <c r="A238"/>
  <c r="D237"/>
  <c r="E238" l="1"/>
  <c r="D238"/>
  <c r="A239"/>
  <c r="F238"/>
  <c r="C238"/>
  <c r="B238"/>
  <c r="F238" i="5"/>
  <c r="D238"/>
  <c r="B238"/>
  <c r="C238"/>
  <c r="A239"/>
  <c r="E238"/>
  <c r="D232" i="15"/>
  <c r="F232"/>
  <c r="C232"/>
  <c r="E232"/>
  <c r="A233"/>
  <c r="B232"/>
  <c r="D113" i="5"/>
  <c r="E113" s="1"/>
  <c r="B113" l="1"/>
  <c r="F113"/>
  <c r="C114" s="1"/>
  <c r="D233" i="15"/>
  <c r="A234"/>
  <c r="E233"/>
  <c r="B233"/>
  <c r="C233"/>
  <c r="F233"/>
  <c r="F239" i="5"/>
  <c r="E239"/>
  <c r="B239"/>
  <c r="D239"/>
  <c r="C239"/>
  <c r="A240"/>
  <c r="B239" i="14"/>
  <c r="A240"/>
  <c r="E239"/>
  <c r="F239"/>
  <c r="C239"/>
  <c r="D239"/>
  <c r="D114" i="5" l="1"/>
  <c r="E114" s="1"/>
  <c r="C240" i="14"/>
  <c r="F240"/>
  <c r="A241"/>
  <c r="B240"/>
  <c r="D240"/>
  <c r="E240"/>
  <c r="A241" i="5"/>
  <c r="E240"/>
  <c r="B240"/>
  <c r="F240"/>
  <c r="C240"/>
  <c r="D240"/>
  <c r="A235" i="15"/>
  <c r="E234"/>
  <c r="B234"/>
  <c r="F234"/>
  <c r="D234"/>
  <c r="C234"/>
  <c r="B114" i="5" l="1"/>
  <c r="F235" i="15"/>
  <c r="D235"/>
  <c r="A236"/>
  <c r="B235"/>
  <c r="C235"/>
  <c r="E235"/>
  <c r="C241" i="5"/>
  <c r="E241"/>
  <c r="B241"/>
  <c r="D241"/>
  <c r="A242"/>
  <c r="F241"/>
  <c r="C241" i="14"/>
  <c r="F241"/>
  <c r="A242"/>
  <c r="E241"/>
  <c r="B241"/>
  <c r="D241"/>
  <c r="F114" i="5"/>
  <c r="C115" s="1"/>
  <c r="D115" l="1"/>
  <c r="E115" s="1"/>
  <c r="B242" i="14"/>
  <c r="E242"/>
  <c r="D242"/>
  <c r="A243"/>
  <c r="F242"/>
  <c r="C242"/>
  <c r="A243" i="5"/>
  <c r="E242"/>
  <c r="D242"/>
  <c r="F242"/>
  <c r="B242"/>
  <c r="C242"/>
  <c r="E236" i="15"/>
  <c r="C236"/>
  <c r="A237"/>
  <c r="B236"/>
  <c r="F236"/>
  <c r="D236"/>
  <c r="B115" i="5" l="1"/>
  <c r="E237" i="15"/>
  <c r="B237"/>
  <c r="D237"/>
  <c r="C237"/>
  <c r="F237"/>
  <c r="A238"/>
  <c r="A244" i="5"/>
  <c r="B243"/>
  <c r="F243"/>
  <c r="D243"/>
  <c r="C243"/>
  <c r="E243"/>
  <c r="F115"/>
  <c r="C116" s="1"/>
  <c r="A244" i="14"/>
  <c r="E243"/>
  <c r="F243"/>
  <c r="D243"/>
  <c r="C243"/>
  <c r="B243"/>
  <c r="B244" l="1"/>
  <c r="D244"/>
  <c r="A245"/>
  <c r="E244"/>
  <c r="C244"/>
  <c r="F244"/>
  <c r="D116" i="5"/>
  <c r="E116" s="1"/>
  <c r="B244"/>
  <c r="E244"/>
  <c r="F244"/>
  <c r="A245"/>
  <c r="D244"/>
  <c r="C244"/>
  <c r="A239" i="15"/>
  <c r="B238"/>
  <c r="D238"/>
  <c r="F238"/>
  <c r="C238"/>
  <c r="E238"/>
  <c r="B116" i="5" l="1"/>
  <c r="F239" i="15"/>
  <c r="B239"/>
  <c r="A240"/>
  <c r="C239"/>
  <c r="E239"/>
  <c r="D239"/>
  <c r="F116" i="5"/>
  <c r="C117" s="1"/>
  <c r="E245" i="14"/>
  <c r="D245"/>
  <c r="B245"/>
  <c r="A246"/>
  <c r="F245"/>
  <c r="C245"/>
  <c r="F245" i="5"/>
  <c r="D245"/>
  <c r="C245"/>
  <c r="B245"/>
  <c r="A246"/>
  <c r="E245"/>
  <c r="D117" l="1"/>
  <c r="E117" s="1"/>
  <c r="D240" i="15"/>
  <c r="B240"/>
  <c r="E240"/>
  <c r="F240"/>
  <c r="C240"/>
  <c r="A241"/>
  <c r="E246" i="5"/>
  <c r="C246"/>
  <c r="D246"/>
  <c r="F246"/>
  <c r="B246"/>
  <c r="A247"/>
  <c r="E246" i="14"/>
  <c r="F246"/>
  <c r="A247"/>
  <c r="C246"/>
  <c r="B246"/>
  <c r="D246"/>
  <c r="D247" l="1"/>
  <c r="E247"/>
  <c r="A248"/>
  <c r="B247"/>
  <c r="C247"/>
  <c r="F247"/>
  <c r="F117" i="5"/>
  <c r="C118" s="1"/>
  <c r="C247"/>
  <c r="D247"/>
  <c r="B247"/>
  <c r="A248"/>
  <c r="F247"/>
  <c r="E247"/>
  <c r="C241" i="15"/>
  <c r="F241"/>
  <c r="E241"/>
  <c r="B241"/>
  <c r="A242"/>
  <c r="D241"/>
  <c r="B117" i="5"/>
  <c r="D242" i="15" l="1"/>
  <c r="A243"/>
  <c r="C242"/>
  <c r="E242"/>
  <c r="F242"/>
  <c r="B242"/>
  <c r="D118" i="5"/>
  <c r="E118" s="1"/>
  <c r="D248" i="14"/>
  <c r="B248"/>
  <c r="A249"/>
  <c r="C248"/>
  <c r="E248"/>
  <c r="F248"/>
  <c r="B248" i="5"/>
  <c r="C248"/>
  <c r="A249"/>
  <c r="D248"/>
  <c r="F248"/>
  <c r="E248"/>
  <c r="B118" l="1"/>
  <c r="D249"/>
  <c r="F249"/>
  <c r="B249"/>
  <c r="C249"/>
  <c r="E249"/>
  <c r="A250"/>
  <c r="D249" i="14"/>
  <c r="E249"/>
  <c r="F249"/>
  <c r="B249"/>
  <c r="C249"/>
  <c r="A250"/>
  <c r="F118" i="5"/>
  <c r="C119" s="1"/>
  <c r="A244" i="15"/>
  <c r="F243"/>
  <c r="C243"/>
  <c r="E243"/>
  <c r="D243"/>
  <c r="B243"/>
  <c r="D244" l="1"/>
  <c r="A245"/>
  <c r="F244"/>
  <c r="C244"/>
  <c r="E244"/>
  <c r="B244"/>
  <c r="D119" i="5"/>
  <c r="E119" s="1"/>
  <c r="B250" i="14"/>
  <c r="A251"/>
  <c r="D250"/>
  <c r="C250"/>
  <c r="E250"/>
  <c r="F250"/>
  <c r="D250" i="5"/>
  <c r="A251"/>
  <c r="F250"/>
  <c r="C250"/>
  <c r="E250"/>
  <c r="B250"/>
  <c r="B119" l="1"/>
  <c r="F119"/>
  <c r="C120" s="1"/>
  <c r="F251"/>
  <c r="B251"/>
  <c r="A252"/>
  <c r="D251"/>
  <c r="C251"/>
  <c r="E251"/>
  <c r="D251" i="14"/>
  <c r="E251"/>
  <c r="A252"/>
  <c r="C251"/>
  <c r="F251"/>
  <c r="B251"/>
  <c r="B245" i="15"/>
  <c r="D245"/>
  <c r="C245"/>
  <c r="F245"/>
  <c r="A246"/>
  <c r="E245"/>
  <c r="A247" l="1"/>
  <c r="C246"/>
  <c r="D246"/>
  <c r="E246"/>
  <c r="B246"/>
  <c r="F246"/>
  <c r="C252" i="14"/>
  <c r="B252"/>
  <c r="D252"/>
  <c r="A253"/>
  <c r="F252"/>
  <c r="E252"/>
  <c r="F252" i="5"/>
  <c r="A253"/>
  <c r="B252"/>
  <c r="D252"/>
  <c r="C252"/>
  <c r="E252"/>
  <c r="D120"/>
  <c r="E120" s="1"/>
  <c r="B120" l="1"/>
  <c r="F120"/>
  <c r="C121" s="1"/>
  <c r="C247" i="15"/>
  <c r="F247"/>
  <c r="B247"/>
  <c r="E247"/>
  <c r="A248"/>
  <c r="D247"/>
  <c r="E253" i="5"/>
  <c r="A254"/>
  <c r="D253"/>
  <c r="B253"/>
  <c r="C253"/>
  <c r="F253"/>
  <c r="B253" i="14"/>
  <c r="C253"/>
  <c r="E253"/>
  <c r="D253"/>
  <c r="F253"/>
  <c r="A254"/>
  <c r="D248" i="15" l="1"/>
  <c r="F248"/>
  <c r="C248"/>
  <c r="B248"/>
  <c r="A249"/>
  <c r="E248"/>
  <c r="D121" i="5"/>
  <c r="E121" s="1"/>
  <c r="A255" i="14"/>
  <c r="B254"/>
  <c r="D254"/>
  <c r="F254"/>
  <c r="C254"/>
  <c r="E254"/>
  <c r="E254" i="5"/>
  <c r="F254"/>
  <c r="B254"/>
  <c r="C254"/>
  <c r="D254"/>
  <c r="A255"/>
  <c r="B121" l="1"/>
  <c r="D255"/>
  <c r="F255"/>
  <c r="A256"/>
  <c r="B255"/>
  <c r="E255"/>
  <c r="C255"/>
  <c r="E255" i="14"/>
  <c r="D255"/>
  <c r="A256"/>
  <c r="C255"/>
  <c r="F255"/>
  <c r="B255"/>
  <c r="F121" i="5"/>
  <c r="C122" s="1"/>
  <c r="E249" i="15"/>
  <c r="B249"/>
  <c r="C249"/>
  <c r="A250"/>
  <c r="F249"/>
  <c r="D249"/>
  <c r="D122" i="5" l="1"/>
  <c r="E122" s="1"/>
  <c r="E256" i="14"/>
  <c r="C256"/>
  <c r="D256"/>
  <c r="B256"/>
  <c r="F256"/>
  <c r="A257"/>
  <c r="C256" i="5"/>
  <c r="F256"/>
  <c r="E256"/>
  <c r="D256"/>
  <c r="B256"/>
  <c r="A257"/>
  <c r="A251" i="15"/>
  <c r="D250"/>
  <c r="F250"/>
  <c r="C250"/>
  <c r="B250"/>
  <c r="E250"/>
  <c r="B251" l="1"/>
  <c r="F251"/>
  <c r="C251"/>
  <c r="A252"/>
  <c r="E251"/>
  <c r="D251"/>
  <c r="B122" i="5"/>
  <c r="E257"/>
  <c r="A258"/>
  <c r="C257"/>
  <c r="D257"/>
  <c r="F257"/>
  <c r="B257"/>
  <c r="C257" i="14"/>
  <c r="E257"/>
  <c r="A258"/>
  <c r="F257"/>
  <c r="B257"/>
  <c r="D257"/>
  <c r="F122" i="5"/>
  <c r="C123" s="1"/>
  <c r="D123" l="1"/>
  <c r="E123" s="1"/>
  <c r="B258"/>
  <c r="C258"/>
  <c r="F258"/>
  <c r="A259"/>
  <c r="E258"/>
  <c r="D258"/>
  <c r="C258" i="14"/>
  <c r="D258"/>
  <c r="A259"/>
  <c r="E258"/>
  <c r="B258"/>
  <c r="F258"/>
  <c r="D252" i="15"/>
  <c r="B252"/>
  <c r="C252"/>
  <c r="A253"/>
  <c r="E252"/>
  <c r="F252"/>
  <c r="A260" i="14" l="1"/>
  <c r="E259"/>
  <c r="F259"/>
  <c r="D259"/>
  <c r="B259"/>
  <c r="C259"/>
  <c r="F123" i="5"/>
  <c r="C124" s="1"/>
  <c r="B253" i="15"/>
  <c r="D253"/>
  <c r="E253"/>
  <c r="C253"/>
  <c r="F253"/>
  <c r="A254"/>
  <c r="A260" i="5"/>
  <c r="F259"/>
  <c r="E259"/>
  <c r="C259"/>
  <c r="D259"/>
  <c r="B259"/>
  <c r="B123"/>
  <c r="C260" l="1"/>
  <c r="B260"/>
  <c r="A261"/>
  <c r="D260"/>
  <c r="F260"/>
  <c r="E260"/>
  <c r="D124"/>
  <c r="E124" s="1"/>
  <c r="B124"/>
  <c r="A261" i="14"/>
  <c r="C260"/>
  <c r="F260"/>
  <c r="B260"/>
  <c r="E260"/>
  <c r="D260"/>
  <c r="C254" i="15"/>
  <c r="A255"/>
  <c r="D254"/>
  <c r="B254"/>
  <c r="E254"/>
  <c r="F254"/>
  <c r="F261" i="14" l="1"/>
  <c r="D261"/>
  <c r="C261"/>
  <c r="A262"/>
  <c r="E261"/>
  <c r="B261"/>
  <c r="F124" i="5"/>
  <c r="C125" s="1"/>
  <c r="E261"/>
  <c r="F261"/>
  <c r="D261"/>
  <c r="A262"/>
  <c r="B261"/>
  <c r="C261"/>
  <c r="F255" i="15"/>
  <c r="B255"/>
  <c r="D255"/>
  <c r="C255"/>
  <c r="E255"/>
  <c r="A256"/>
  <c r="D125" i="5" l="1"/>
  <c r="E125" s="1"/>
  <c r="A257" i="15"/>
  <c r="D256"/>
  <c r="F256"/>
  <c r="C256"/>
  <c r="E256"/>
  <c r="B256"/>
  <c r="E262" i="5"/>
  <c r="B262"/>
  <c r="D262"/>
  <c r="C262"/>
  <c r="F262"/>
  <c r="A263"/>
  <c r="E262" i="14"/>
  <c r="B262"/>
  <c r="D262"/>
  <c r="F262"/>
  <c r="C262"/>
  <c r="A263"/>
  <c r="B125" i="5" l="1"/>
  <c r="B257" i="15"/>
  <c r="F257"/>
  <c r="D257"/>
  <c r="C257"/>
  <c r="E257"/>
  <c r="A258"/>
  <c r="F125" i="5"/>
  <c r="C126" s="1"/>
  <c r="E263" i="14"/>
  <c r="B263"/>
  <c r="F263"/>
  <c r="C263"/>
  <c r="D263"/>
  <c r="A264"/>
  <c r="F263" i="5"/>
  <c r="C263"/>
  <c r="A264"/>
  <c r="B263"/>
  <c r="D263"/>
  <c r="E263"/>
  <c r="A265" l="1"/>
  <c r="C264"/>
  <c r="B264"/>
  <c r="E264"/>
  <c r="F264"/>
  <c r="D264"/>
  <c r="D126"/>
  <c r="E126" s="1"/>
  <c r="B264" i="14"/>
  <c r="A265"/>
  <c r="D264"/>
  <c r="C264"/>
  <c r="E264"/>
  <c r="F264"/>
  <c r="A259" i="15"/>
  <c r="D258"/>
  <c r="C258"/>
  <c r="B258"/>
  <c r="F258"/>
  <c r="E258"/>
  <c r="B126" i="5" l="1"/>
  <c r="B259" i="15"/>
  <c r="D259"/>
  <c r="A260"/>
  <c r="E259"/>
  <c r="F259"/>
  <c r="C259"/>
  <c r="F126" i="5"/>
  <c r="C127" s="1"/>
  <c r="B265"/>
  <c r="E265"/>
  <c r="A266"/>
  <c r="C265"/>
  <c r="F265"/>
  <c r="D265"/>
  <c r="A266" i="14"/>
  <c r="C265"/>
  <c r="F265"/>
  <c r="B265"/>
  <c r="E265"/>
  <c r="D265"/>
  <c r="B266" l="1"/>
  <c r="E266"/>
  <c r="A267"/>
  <c r="D266"/>
  <c r="C266"/>
  <c r="F266"/>
  <c r="D266" i="5"/>
  <c r="B266"/>
  <c r="C266"/>
  <c r="E266"/>
  <c r="A267"/>
  <c r="F266"/>
  <c r="D127"/>
  <c r="E127" s="1"/>
  <c r="B260" i="15"/>
  <c r="E260"/>
  <c r="F260"/>
  <c r="D260"/>
  <c r="C260"/>
  <c r="A261"/>
  <c r="D261" l="1"/>
  <c r="F261"/>
  <c r="E261"/>
  <c r="C261"/>
  <c r="B261"/>
  <c r="A262"/>
  <c r="B267" i="5"/>
  <c r="A268"/>
  <c r="C267"/>
  <c r="F267"/>
  <c r="D267"/>
  <c r="E267"/>
  <c r="A268" i="14"/>
  <c r="C267"/>
  <c r="E267"/>
  <c r="B267"/>
  <c r="D267"/>
  <c r="F267"/>
  <c r="B127" i="5"/>
  <c r="F127"/>
  <c r="C128" s="1"/>
  <c r="B268" i="14" l="1"/>
  <c r="C268"/>
  <c r="E268"/>
  <c r="D268"/>
  <c r="A269"/>
  <c r="F268"/>
  <c r="D128" i="5"/>
  <c r="E128" s="1"/>
  <c r="F268"/>
  <c r="A269"/>
  <c r="B268"/>
  <c r="C268"/>
  <c r="E268"/>
  <c r="D268"/>
  <c r="B262" i="15"/>
  <c r="C262"/>
  <c r="A263"/>
  <c r="F262"/>
  <c r="D262"/>
  <c r="E262"/>
  <c r="A264" l="1"/>
  <c r="D263"/>
  <c r="F263"/>
  <c r="C263"/>
  <c r="B263"/>
  <c r="E263"/>
  <c r="B269" i="14"/>
  <c r="A270"/>
  <c r="E269"/>
  <c r="D269"/>
  <c r="C269"/>
  <c r="F269"/>
  <c r="B128" i="5"/>
  <c r="B269"/>
  <c r="F269"/>
  <c r="A270"/>
  <c r="C269"/>
  <c r="E269"/>
  <c r="D269"/>
  <c r="F128"/>
  <c r="C129" s="1"/>
  <c r="B264" i="15" l="1"/>
  <c r="E264"/>
  <c r="D264"/>
  <c r="A265"/>
  <c r="C264"/>
  <c r="F264"/>
  <c r="D129" i="5"/>
  <c r="E129" s="1"/>
  <c r="A271"/>
  <c r="D270"/>
  <c r="E270"/>
  <c r="F270"/>
  <c r="B270"/>
  <c r="C270"/>
  <c r="F270" i="14"/>
  <c r="C270"/>
  <c r="E270"/>
  <c r="A271"/>
  <c r="B270"/>
  <c r="D270"/>
  <c r="B129" i="5" l="1"/>
  <c r="B271"/>
  <c r="E271"/>
  <c r="F271"/>
  <c r="D271"/>
  <c r="C271"/>
  <c r="A272"/>
  <c r="F129"/>
  <c r="C130" s="1"/>
  <c r="D271" i="14"/>
  <c r="E271"/>
  <c r="F271"/>
  <c r="C271"/>
  <c r="A272"/>
  <c r="B271"/>
  <c r="F265" i="15"/>
  <c r="D265"/>
  <c r="B265"/>
  <c r="E265"/>
  <c r="C265"/>
  <c r="A266"/>
  <c r="C272" i="14" l="1"/>
  <c r="E272"/>
  <c r="D272"/>
  <c r="F272"/>
  <c r="B272"/>
  <c r="A273"/>
  <c r="D130" i="5"/>
  <c r="E130" s="1"/>
  <c r="E266" i="15"/>
  <c r="F266"/>
  <c r="A267"/>
  <c r="B266"/>
  <c r="D266"/>
  <c r="C266"/>
  <c r="D272" i="5"/>
  <c r="B272"/>
  <c r="E272"/>
  <c r="A273"/>
  <c r="C272"/>
  <c r="F272"/>
  <c r="B130" l="1"/>
  <c r="F273"/>
  <c r="D273"/>
  <c r="B273"/>
  <c r="E273"/>
  <c r="C273"/>
  <c r="A274"/>
  <c r="C267" i="15"/>
  <c r="D267"/>
  <c r="A268"/>
  <c r="F267"/>
  <c r="B267"/>
  <c r="E267"/>
  <c r="F130" i="5"/>
  <c r="C131" s="1"/>
  <c r="C273" i="14"/>
  <c r="E273"/>
  <c r="D273"/>
  <c r="B273"/>
  <c r="F273"/>
  <c r="A274"/>
  <c r="D131" i="5" l="1"/>
  <c r="E131" s="1"/>
  <c r="A269" i="15"/>
  <c r="E268"/>
  <c r="B268"/>
  <c r="F268"/>
  <c r="D268"/>
  <c r="C268"/>
  <c r="B274" i="14"/>
  <c r="F274"/>
  <c r="C274"/>
  <c r="A275"/>
  <c r="E274"/>
  <c r="D274"/>
  <c r="F274" i="5"/>
  <c r="E274"/>
  <c r="C274"/>
  <c r="D274"/>
  <c r="B274"/>
  <c r="A275"/>
  <c r="F275" l="1"/>
  <c r="E275"/>
  <c r="C275"/>
  <c r="A276"/>
  <c r="D275"/>
  <c r="B275"/>
  <c r="C269" i="15"/>
  <c r="F269"/>
  <c r="E269"/>
  <c r="D269"/>
  <c r="B269"/>
  <c r="A270"/>
  <c r="B131" i="5"/>
  <c r="E275" i="14"/>
  <c r="A276"/>
  <c r="B275"/>
  <c r="D275"/>
  <c r="C275"/>
  <c r="F275"/>
  <c r="F131" i="5"/>
  <c r="C132" s="1"/>
  <c r="E276" i="14" l="1"/>
  <c r="A277"/>
  <c r="F276"/>
  <c r="B276"/>
  <c r="D276"/>
  <c r="C276"/>
  <c r="D132" i="5"/>
  <c r="E132" s="1"/>
  <c r="E270" i="15"/>
  <c r="C270"/>
  <c r="B270"/>
  <c r="A271"/>
  <c r="D270"/>
  <c r="F270"/>
  <c r="F276" i="5"/>
  <c r="D276"/>
  <c r="E276"/>
  <c r="B276"/>
  <c r="C276"/>
  <c r="A277"/>
  <c r="B132" l="1"/>
  <c r="F132"/>
  <c r="C133" s="1"/>
  <c r="E277"/>
  <c r="D277"/>
  <c r="A278"/>
  <c r="F277"/>
  <c r="C277"/>
  <c r="B277"/>
  <c r="E271" i="15"/>
  <c r="A272"/>
  <c r="F271"/>
  <c r="B271"/>
  <c r="C271"/>
  <c r="D271"/>
  <c r="E277" i="14"/>
  <c r="A278"/>
  <c r="D277"/>
  <c r="B277"/>
  <c r="F277"/>
  <c r="C277"/>
  <c r="B278" i="5" l="1"/>
  <c r="C278"/>
  <c r="A279"/>
  <c r="E278"/>
  <c r="D278"/>
  <c r="F278"/>
  <c r="D133"/>
  <c r="E133" s="1"/>
  <c r="F278" i="14"/>
  <c r="B278"/>
  <c r="E278"/>
  <c r="A279"/>
  <c r="D278"/>
  <c r="C278"/>
  <c r="A273" i="15"/>
  <c r="F272"/>
  <c r="B272"/>
  <c r="E272"/>
  <c r="C272"/>
  <c r="D272"/>
  <c r="B133" i="5" l="1"/>
  <c r="C273" i="15"/>
  <c r="B273"/>
  <c r="D273"/>
  <c r="E273"/>
  <c r="F273"/>
  <c r="A274"/>
  <c r="F133" i="5"/>
  <c r="C134" s="1"/>
  <c r="B279"/>
  <c r="C279"/>
  <c r="A280"/>
  <c r="F279"/>
  <c r="E279"/>
  <c r="D279"/>
  <c r="A280" i="14"/>
  <c r="E279"/>
  <c r="D279"/>
  <c r="C279"/>
  <c r="F279"/>
  <c r="B279"/>
  <c r="E280" l="1"/>
  <c r="A281"/>
  <c r="F280"/>
  <c r="C280"/>
  <c r="D280"/>
  <c r="B280"/>
  <c r="D280" i="5"/>
  <c r="A281"/>
  <c r="C280"/>
  <c r="F280"/>
  <c r="E280"/>
  <c r="B280"/>
  <c r="D134"/>
  <c r="E134" s="1"/>
  <c r="E274" i="15"/>
  <c r="B274"/>
  <c r="F274"/>
  <c r="D274"/>
  <c r="A275"/>
  <c r="C274"/>
  <c r="B134" i="5" l="1"/>
  <c r="D275" i="15"/>
  <c r="C275"/>
  <c r="A276"/>
  <c r="B275"/>
  <c r="E275"/>
  <c r="F275"/>
  <c r="F134" i="5"/>
  <c r="C135" s="1"/>
  <c r="A282"/>
  <c r="B281"/>
  <c r="D281"/>
  <c r="C281"/>
  <c r="F281"/>
  <c r="E281"/>
  <c r="F281" i="14"/>
  <c r="B281"/>
  <c r="D281"/>
  <c r="C281"/>
  <c r="E281"/>
  <c r="A282"/>
  <c r="D282" i="5" l="1"/>
  <c r="B282"/>
  <c r="C282"/>
  <c r="A283"/>
  <c r="E282"/>
  <c r="F282"/>
  <c r="D135"/>
  <c r="E135" s="1"/>
  <c r="B276" i="15"/>
  <c r="A277"/>
  <c r="F276"/>
  <c r="D276"/>
  <c r="C276"/>
  <c r="E276"/>
  <c r="F282" i="14"/>
  <c r="C282"/>
  <c r="B282"/>
  <c r="E282"/>
  <c r="D282"/>
  <c r="A283"/>
  <c r="C283" l="1"/>
  <c r="E283"/>
  <c r="A284"/>
  <c r="F283"/>
  <c r="B283"/>
  <c r="D283"/>
  <c r="B135" i="5"/>
  <c r="E277" i="15"/>
  <c r="F277"/>
  <c r="A278"/>
  <c r="B277"/>
  <c r="C277"/>
  <c r="D277"/>
  <c r="F135" i="5"/>
  <c r="C136" s="1"/>
  <c r="D283"/>
  <c r="F283"/>
  <c r="E283"/>
  <c r="C283"/>
  <c r="B283"/>
  <c r="A284"/>
  <c r="C284" l="1"/>
  <c r="D284"/>
  <c r="E284"/>
  <c r="F284"/>
  <c r="A285"/>
  <c r="B284"/>
  <c r="E284" i="14"/>
  <c r="B284"/>
  <c r="A285"/>
  <c r="F284"/>
  <c r="C284"/>
  <c r="D284"/>
  <c r="D136" i="5"/>
  <c r="E136" s="1"/>
  <c r="A279" i="15"/>
  <c r="E278"/>
  <c r="F278"/>
  <c r="B278"/>
  <c r="C278"/>
  <c r="D278"/>
  <c r="B136" i="5" l="1"/>
  <c r="B279" i="15"/>
  <c r="A280"/>
  <c r="F279"/>
  <c r="D279"/>
  <c r="E279"/>
  <c r="C279"/>
  <c r="F136" i="5"/>
  <c r="C137" s="1"/>
  <c r="A286" i="14"/>
  <c r="B285"/>
  <c r="F285"/>
  <c r="D285"/>
  <c r="E285"/>
  <c r="C285"/>
  <c r="A286" i="5"/>
  <c r="F285"/>
  <c r="C285"/>
  <c r="E285"/>
  <c r="D285"/>
  <c r="B285"/>
  <c r="F286" l="1"/>
  <c r="B286"/>
  <c r="E286"/>
  <c r="A287"/>
  <c r="C286"/>
  <c r="D286"/>
  <c r="A287" i="14"/>
  <c r="C286"/>
  <c r="F286"/>
  <c r="B286"/>
  <c r="D286"/>
  <c r="E286"/>
  <c r="D137" i="5"/>
  <c r="E137" s="1"/>
  <c r="D280" i="15"/>
  <c r="C280"/>
  <c r="B280"/>
  <c r="A281"/>
  <c r="E280"/>
  <c r="F280"/>
  <c r="F287" i="14" l="1"/>
  <c r="A288"/>
  <c r="C287"/>
  <c r="E287"/>
  <c r="D287"/>
  <c r="B287"/>
  <c r="B137" i="5"/>
  <c r="B281" i="15"/>
  <c r="A282"/>
  <c r="F281"/>
  <c r="C281"/>
  <c r="E281"/>
  <c r="D281"/>
  <c r="F137" i="5"/>
  <c r="C138" s="1"/>
  <c r="C287"/>
  <c r="F287"/>
  <c r="A288"/>
  <c r="E287"/>
  <c r="D287"/>
  <c r="B287"/>
  <c r="A283" i="15" l="1"/>
  <c r="E282"/>
  <c r="C282"/>
  <c r="D282"/>
  <c r="F282"/>
  <c r="B282"/>
  <c r="F288" i="5"/>
  <c r="E288"/>
  <c r="B288"/>
  <c r="A289"/>
  <c r="D288"/>
  <c r="C288"/>
  <c r="D138"/>
  <c r="E138" s="1"/>
  <c r="F288" i="14"/>
  <c r="B288"/>
  <c r="C288"/>
  <c r="D288"/>
  <c r="E288"/>
  <c r="A289"/>
  <c r="E283" i="15" l="1"/>
  <c r="F283"/>
  <c r="D283"/>
  <c r="B283"/>
  <c r="A284"/>
  <c r="C283"/>
  <c r="B138" i="5"/>
  <c r="B289" i="14"/>
  <c r="D289"/>
  <c r="A290"/>
  <c r="F289"/>
  <c r="C289"/>
  <c r="E289"/>
  <c r="F138" i="5"/>
  <c r="C139" s="1"/>
  <c r="B289"/>
  <c r="C289"/>
  <c r="D289"/>
  <c r="A290"/>
  <c r="E289"/>
  <c r="F289"/>
  <c r="E290" l="1"/>
  <c r="C290"/>
  <c r="B290"/>
  <c r="A291"/>
  <c r="D290"/>
  <c r="F290"/>
  <c r="E284" i="15"/>
  <c r="B284"/>
  <c r="C284"/>
  <c r="D284"/>
  <c r="A285"/>
  <c r="F284"/>
  <c r="D139" i="5"/>
  <c r="E139" s="1"/>
  <c r="F139" s="1"/>
  <c r="C290" i="14"/>
  <c r="F290"/>
  <c r="A291"/>
  <c r="E290"/>
  <c r="B290"/>
  <c r="D290"/>
  <c r="B139" i="5" l="1"/>
  <c r="F291" i="14"/>
  <c r="A292"/>
  <c r="B291"/>
  <c r="D291"/>
  <c r="E291"/>
  <c r="C291"/>
  <c r="F285" i="15"/>
  <c r="E285"/>
  <c r="A286"/>
  <c r="C285"/>
  <c r="D285"/>
  <c r="B285"/>
  <c r="D291" i="5"/>
  <c r="B291"/>
  <c r="C291"/>
  <c r="E291"/>
  <c r="A292"/>
  <c r="F291"/>
  <c r="D292" l="1"/>
  <c r="F292"/>
  <c r="B292"/>
  <c r="E292"/>
  <c r="C292"/>
  <c r="A293"/>
  <c r="F286" i="15"/>
  <c r="A287"/>
  <c r="B286"/>
  <c r="E286"/>
  <c r="D286"/>
  <c r="C286"/>
  <c r="C292" i="14"/>
  <c r="D292"/>
  <c r="B292"/>
  <c r="F292"/>
  <c r="A293"/>
  <c r="E292"/>
  <c r="F293" l="1"/>
  <c r="D293"/>
  <c r="A294"/>
  <c r="B293"/>
  <c r="C293"/>
  <c r="E293"/>
  <c r="B287" i="15"/>
  <c r="D287"/>
  <c r="E287"/>
  <c r="C287"/>
  <c r="F287"/>
  <c r="A288"/>
  <c r="C293" i="5"/>
  <c r="F293"/>
  <c r="A294"/>
  <c r="B293"/>
  <c r="D293"/>
  <c r="E293"/>
  <c r="D294" l="1"/>
  <c r="B294"/>
  <c r="F294"/>
  <c r="C294"/>
  <c r="E294"/>
  <c r="A295"/>
  <c r="E294" i="14"/>
  <c r="D294"/>
  <c r="F294"/>
  <c r="A295"/>
  <c r="B294"/>
  <c r="C294"/>
  <c r="B288" i="15"/>
  <c r="F288"/>
  <c r="D288"/>
  <c r="E288"/>
  <c r="A289"/>
  <c r="C288"/>
  <c r="D289" l="1"/>
  <c r="B289"/>
  <c r="F289"/>
  <c r="C289"/>
  <c r="E289"/>
  <c r="A290"/>
  <c r="F295" i="14"/>
  <c r="D295"/>
  <c r="E295"/>
  <c r="B295"/>
  <c r="A296"/>
  <c r="C295"/>
  <c r="B295" i="5"/>
  <c r="C295"/>
  <c r="D295"/>
  <c r="A296"/>
  <c r="E295"/>
  <c r="F295"/>
  <c r="F296" i="14" l="1"/>
  <c r="E296"/>
  <c r="C296"/>
  <c r="D296"/>
  <c r="B296"/>
  <c r="A297"/>
  <c r="A297" i="5"/>
  <c r="B296"/>
  <c r="E296"/>
  <c r="C296"/>
  <c r="F296"/>
  <c r="D296"/>
  <c r="A291" i="15"/>
  <c r="D290"/>
  <c r="E290"/>
  <c r="C290"/>
  <c r="B290"/>
  <c r="F290"/>
  <c r="B291" l="1"/>
  <c r="D291"/>
  <c r="A292"/>
  <c r="E291"/>
  <c r="C291"/>
  <c r="F291"/>
  <c r="E297" i="5"/>
  <c r="A298"/>
  <c r="D297"/>
  <c r="B297"/>
  <c r="F297"/>
  <c r="C297"/>
  <c r="E297" i="14"/>
  <c r="B297"/>
  <c r="C297"/>
  <c r="D297"/>
  <c r="A298"/>
  <c r="F297"/>
  <c r="B298" l="1"/>
  <c r="E298"/>
  <c r="A299"/>
  <c r="C298"/>
  <c r="D298"/>
  <c r="F298"/>
  <c r="F292" i="15"/>
  <c r="E292"/>
  <c r="B292"/>
  <c r="C292"/>
  <c r="A293"/>
  <c r="D292"/>
  <c r="C298" i="5"/>
  <c r="B298"/>
  <c r="F298"/>
  <c r="D298"/>
  <c r="E298"/>
  <c r="A299"/>
  <c r="D293" i="15" l="1"/>
  <c r="B293"/>
  <c r="F293"/>
  <c r="E293"/>
  <c r="C293"/>
  <c r="A294"/>
  <c r="D299" i="14"/>
  <c r="F299"/>
  <c r="A300"/>
  <c r="C299"/>
  <c r="B299"/>
  <c r="E299"/>
  <c r="B299" i="5"/>
  <c r="D299"/>
  <c r="F299"/>
  <c r="A300"/>
  <c r="E299"/>
  <c r="C299"/>
  <c r="F300" i="14" l="1"/>
  <c r="A301"/>
  <c r="B300"/>
  <c r="E300"/>
  <c r="D300"/>
  <c r="C300"/>
  <c r="E300" i="5"/>
  <c r="C300"/>
  <c r="B300"/>
  <c r="F300"/>
  <c r="D300"/>
  <c r="A301"/>
  <c r="F294" i="15"/>
  <c r="E294"/>
  <c r="C294"/>
  <c r="D294"/>
  <c r="A295"/>
  <c r="B294"/>
  <c r="F295" l="1"/>
  <c r="C295"/>
  <c r="D295"/>
  <c r="E295"/>
  <c r="A296"/>
  <c r="B295"/>
  <c r="E301" i="5"/>
  <c r="D301"/>
  <c r="B301"/>
  <c r="A302"/>
  <c r="C301"/>
  <c r="F301"/>
  <c r="C301" i="14"/>
  <c r="A302"/>
  <c r="F301"/>
  <c r="B301"/>
  <c r="E301"/>
  <c r="D301"/>
  <c r="A297" i="15" l="1"/>
  <c r="F296"/>
  <c r="B296"/>
  <c r="D296"/>
  <c r="E296"/>
  <c r="C296"/>
  <c r="C302" i="14"/>
  <c r="B302"/>
  <c r="A303"/>
  <c r="F302"/>
  <c r="E302"/>
  <c r="D302"/>
  <c r="B302" i="5"/>
  <c r="E302"/>
  <c r="C302"/>
  <c r="D302"/>
  <c r="F302"/>
  <c r="A303"/>
  <c r="C303" i="14" l="1"/>
  <c r="A304"/>
  <c r="D303"/>
  <c r="F303"/>
  <c r="B303"/>
  <c r="E303"/>
  <c r="C297" i="15"/>
  <c r="B297"/>
  <c r="F297"/>
  <c r="E297"/>
  <c r="A298"/>
  <c r="D297"/>
  <c r="B303" i="5"/>
  <c r="C303"/>
  <c r="D303"/>
  <c r="A304"/>
  <c r="E303"/>
  <c r="F303"/>
  <c r="C304" l="1"/>
  <c r="F304"/>
  <c r="E304"/>
  <c r="B304"/>
  <c r="A305"/>
  <c r="D304"/>
  <c r="E298" i="15"/>
  <c r="D298"/>
  <c r="C298"/>
  <c r="B298"/>
  <c r="A299"/>
  <c r="F298"/>
  <c r="E304" i="14"/>
  <c r="B304"/>
  <c r="A305"/>
  <c r="C304"/>
  <c r="D304"/>
  <c r="F304"/>
  <c r="B305" l="1"/>
  <c r="D305"/>
  <c r="F305"/>
  <c r="E305"/>
  <c r="A306"/>
  <c r="C305"/>
  <c r="C299" i="15"/>
  <c r="D299"/>
  <c r="B299"/>
  <c r="A300"/>
  <c r="F299"/>
  <c r="E299"/>
  <c r="E305" i="5"/>
  <c r="B305"/>
  <c r="A306"/>
  <c r="D305"/>
  <c r="F305"/>
  <c r="C305"/>
  <c r="B306" l="1"/>
  <c r="A307"/>
  <c r="F306"/>
  <c r="D306"/>
  <c r="C306"/>
  <c r="E306"/>
  <c r="E306" i="14"/>
  <c r="B306"/>
  <c r="C306"/>
  <c r="D306"/>
  <c r="F306"/>
  <c r="A307"/>
  <c r="F300" i="15"/>
  <c r="B300"/>
  <c r="E300"/>
  <c r="A301"/>
  <c r="D300"/>
  <c r="C300"/>
  <c r="D301" l="1"/>
  <c r="A302"/>
  <c r="B301"/>
  <c r="C301"/>
  <c r="F301"/>
  <c r="E301"/>
  <c r="B307" i="14"/>
  <c r="F307"/>
  <c r="C307"/>
  <c r="D307"/>
  <c r="E307"/>
  <c r="A308"/>
  <c r="F307" i="5"/>
  <c r="E307"/>
  <c r="C307"/>
  <c r="D307"/>
  <c r="A308"/>
  <c r="B307"/>
  <c r="F308" l="1"/>
  <c r="D308"/>
  <c r="A309"/>
  <c r="C308"/>
  <c r="E308"/>
  <c r="B308"/>
  <c r="B308" i="14"/>
  <c r="D308"/>
  <c r="A309"/>
  <c r="F308"/>
  <c r="C308"/>
  <c r="E308"/>
  <c r="F302" i="15"/>
  <c r="A303"/>
  <c r="E302"/>
  <c r="B302"/>
  <c r="C302"/>
  <c r="D302"/>
  <c r="A310" i="14" l="1"/>
  <c r="B309"/>
  <c r="D309"/>
  <c r="F309"/>
  <c r="C309"/>
  <c r="E309"/>
  <c r="F309" i="5"/>
  <c r="E309"/>
  <c r="D309"/>
  <c r="B309"/>
  <c r="C309"/>
  <c r="A310"/>
  <c r="A304" i="15"/>
  <c r="F303"/>
  <c r="E303"/>
  <c r="C303"/>
  <c r="D303"/>
  <c r="B303"/>
  <c r="C304" l="1"/>
  <c r="E304"/>
  <c r="D304"/>
  <c r="B304"/>
  <c r="A305"/>
  <c r="F304"/>
  <c r="D310" i="14"/>
  <c r="C310"/>
  <c r="F310"/>
  <c r="B310"/>
  <c r="A311"/>
  <c r="E310"/>
  <c r="B310" i="5"/>
  <c r="F310"/>
  <c r="E310"/>
  <c r="C310"/>
  <c r="A311"/>
  <c r="D310"/>
  <c r="F311" l="1"/>
  <c r="C311"/>
  <c r="A312"/>
  <c r="B311"/>
  <c r="D311"/>
  <c r="E311"/>
  <c r="D311" i="14"/>
  <c r="F311"/>
  <c r="E311"/>
  <c r="B311"/>
  <c r="C311"/>
  <c r="A312"/>
  <c r="C305" i="15"/>
  <c r="F305"/>
  <c r="B305"/>
  <c r="A306"/>
  <c r="D305"/>
  <c r="E305"/>
  <c r="E312" i="5" l="1"/>
  <c r="C312"/>
  <c r="D312"/>
  <c r="A313"/>
  <c r="F312"/>
  <c r="B312"/>
  <c r="C306" i="15"/>
  <c r="E306"/>
  <c r="A307"/>
  <c r="B306"/>
  <c r="F306"/>
  <c r="D306"/>
  <c r="F312" i="14"/>
  <c r="B312"/>
  <c r="E312"/>
  <c r="D312"/>
  <c r="A313"/>
  <c r="C312"/>
  <c r="C313" l="1"/>
  <c r="A314"/>
  <c r="D313"/>
  <c r="F313"/>
  <c r="E313"/>
  <c r="B313"/>
  <c r="A308" i="15"/>
  <c r="D307"/>
  <c r="F307"/>
  <c r="E307"/>
  <c r="B307"/>
  <c r="C307"/>
  <c r="A314" i="5"/>
  <c r="C313"/>
  <c r="B313"/>
  <c r="E313"/>
  <c r="D313"/>
  <c r="F313"/>
  <c r="F314" l="1"/>
  <c r="E314"/>
  <c r="D314"/>
  <c r="B314"/>
  <c r="A315"/>
  <c r="C314"/>
  <c r="A309" i="15"/>
  <c r="C308"/>
  <c r="F308"/>
  <c r="B308"/>
  <c r="E308"/>
  <c r="D308"/>
  <c r="E314" i="14"/>
  <c r="F314"/>
  <c r="D314"/>
  <c r="A315"/>
  <c r="C314"/>
  <c r="B314"/>
  <c r="C315" l="1"/>
  <c r="A316"/>
  <c r="B315"/>
  <c r="F315"/>
  <c r="D315"/>
  <c r="E315"/>
  <c r="E309" i="15"/>
  <c r="F309"/>
  <c r="D309"/>
  <c r="A310"/>
  <c r="B309"/>
  <c r="C309"/>
  <c r="B315" i="5"/>
  <c r="A316"/>
  <c r="C315"/>
  <c r="F315"/>
  <c r="D315"/>
  <c r="E315"/>
  <c r="B316" l="1"/>
  <c r="C316"/>
  <c r="E316"/>
  <c r="F316"/>
  <c r="A317"/>
  <c r="D316"/>
  <c r="A311" i="15"/>
  <c r="E310"/>
  <c r="C310"/>
  <c r="F310"/>
  <c r="B310"/>
  <c r="D310"/>
  <c r="F316" i="14"/>
  <c r="B316"/>
  <c r="A317"/>
  <c r="E316"/>
  <c r="C316"/>
  <c r="D316"/>
  <c r="E317" l="1"/>
  <c r="A318"/>
  <c r="C317"/>
  <c r="B317"/>
  <c r="D317"/>
  <c r="F317"/>
  <c r="F311" i="15"/>
  <c r="B311"/>
  <c r="C311"/>
  <c r="D311"/>
  <c r="E311"/>
  <c r="A312"/>
  <c r="A318" i="5"/>
  <c r="E317"/>
  <c r="C317"/>
  <c r="D317"/>
  <c r="F317"/>
  <c r="B317"/>
  <c r="E318" l="1"/>
  <c r="F318"/>
  <c r="D318"/>
  <c r="B318"/>
  <c r="C318"/>
  <c r="A319"/>
  <c r="F312" i="15"/>
  <c r="D312"/>
  <c r="A313"/>
  <c r="C312"/>
  <c r="B312"/>
  <c r="E312"/>
  <c r="F318" i="14"/>
  <c r="E318"/>
  <c r="C318"/>
  <c r="D318"/>
  <c r="A319"/>
  <c r="B318"/>
  <c r="D319" l="1"/>
  <c r="B319"/>
  <c r="C319"/>
  <c r="F319"/>
  <c r="E319"/>
  <c r="A320"/>
  <c r="D313" i="15"/>
  <c r="E313"/>
  <c r="F313"/>
  <c r="B313"/>
  <c r="C313"/>
  <c r="A314"/>
  <c r="D319" i="5"/>
  <c r="F319"/>
  <c r="C319"/>
  <c r="A320"/>
  <c r="E319"/>
  <c r="B319"/>
  <c r="F320" l="1"/>
  <c r="B320"/>
  <c r="A321"/>
  <c r="C320"/>
  <c r="E320"/>
  <c r="D320"/>
  <c r="A315" i="15"/>
  <c r="E314"/>
  <c r="B314"/>
  <c r="C314"/>
  <c r="F314"/>
  <c r="D314"/>
  <c r="C320" i="14"/>
  <c r="F320"/>
  <c r="D320"/>
  <c r="A321"/>
  <c r="E320"/>
  <c r="B320"/>
  <c r="D321" l="1"/>
  <c r="C321"/>
  <c r="B321"/>
  <c r="E321"/>
  <c r="A322"/>
  <c r="F321"/>
  <c r="F315" i="15"/>
  <c r="B315"/>
  <c r="A316"/>
  <c r="D315"/>
  <c r="E315"/>
  <c r="C315"/>
  <c r="A322" i="5"/>
  <c r="C321"/>
  <c r="F321"/>
  <c r="B321"/>
  <c r="D321"/>
  <c r="E321"/>
  <c r="F322" l="1"/>
  <c r="E322"/>
  <c r="B322"/>
  <c r="C322"/>
  <c r="A323"/>
  <c r="D322"/>
  <c r="D316" i="15"/>
  <c r="C316"/>
  <c r="F316"/>
  <c r="A317"/>
  <c r="E316"/>
  <c r="B316"/>
  <c r="C322" i="14"/>
  <c r="D322"/>
  <c r="A323"/>
  <c r="F322"/>
  <c r="E322"/>
  <c r="B322"/>
  <c r="D323" l="1"/>
  <c r="A324"/>
  <c r="C323"/>
  <c r="B323"/>
  <c r="E323"/>
  <c r="F323"/>
  <c r="E323" i="5"/>
  <c r="F323"/>
  <c r="D323"/>
  <c r="B323"/>
  <c r="A324"/>
  <c r="C323"/>
  <c r="B317" i="15"/>
  <c r="E317"/>
  <c r="D317"/>
  <c r="A318"/>
  <c r="F317"/>
  <c r="C317"/>
  <c r="C318" l="1"/>
  <c r="A319"/>
  <c r="F318"/>
  <c r="D318"/>
  <c r="E318"/>
  <c r="B318"/>
  <c r="D324" i="5"/>
  <c r="B324"/>
  <c r="F324"/>
  <c r="A325"/>
  <c r="E324"/>
  <c r="C324"/>
  <c r="A325" i="14"/>
  <c r="E324"/>
  <c r="B324"/>
  <c r="C324"/>
  <c r="D324"/>
  <c r="F324"/>
  <c r="A326" l="1"/>
  <c r="C325"/>
  <c r="F325"/>
  <c r="B325"/>
  <c r="D325"/>
  <c r="E325"/>
  <c r="D325" i="5"/>
  <c r="B325"/>
  <c r="E325"/>
  <c r="A326"/>
  <c r="C325"/>
  <c r="F325"/>
  <c r="D319" i="15"/>
  <c r="B319"/>
  <c r="A320"/>
  <c r="E319"/>
  <c r="F319"/>
  <c r="C319"/>
  <c r="E320" l="1"/>
  <c r="D320"/>
  <c r="F320"/>
  <c r="C320"/>
  <c r="A321"/>
  <c r="B320"/>
  <c r="D326" i="14"/>
  <c r="E326"/>
  <c r="A327"/>
  <c r="F326"/>
  <c r="B326"/>
  <c r="C326"/>
  <c r="A327" i="5"/>
  <c r="D326"/>
  <c r="B326"/>
  <c r="C326"/>
  <c r="E326"/>
  <c r="F326"/>
  <c r="A328" l="1"/>
  <c r="B327"/>
  <c r="E327"/>
  <c r="F327"/>
  <c r="D327"/>
  <c r="C327"/>
  <c r="A328" i="14"/>
  <c r="D327"/>
  <c r="C327"/>
  <c r="F327"/>
  <c r="B327"/>
  <c r="E327"/>
  <c r="A322" i="15"/>
  <c r="D321"/>
  <c r="C321"/>
  <c r="B321"/>
  <c r="E321"/>
  <c r="F321"/>
  <c r="D322" l="1"/>
  <c r="A323"/>
  <c r="C322"/>
  <c r="F322"/>
  <c r="B322"/>
  <c r="E322"/>
  <c r="E328" i="14"/>
  <c r="B328"/>
  <c r="F328"/>
  <c r="C328"/>
  <c r="A329"/>
  <c r="D328"/>
  <c r="B328" i="5"/>
  <c r="D328"/>
  <c r="F328"/>
  <c r="A329"/>
  <c r="E328"/>
  <c r="C328"/>
  <c r="D329" i="14" l="1"/>
  <c r="F329"/>
  <c r="E329"/>
  <c r="A330"/>
  <c r="B329"/>
  <c r="C329"/>
  <c r="D329" i="5"/>
  <c r="E329"/>
  <c r="F329"/>
  <c r="B329"/>
  <c r="C329"/>
  <c r="A330"/>
  <c r="D323" i="15"/>
  <c r="A324"/>
  <c r="E323"/>
  <c r="F323"/>
  <c r="B323"/>
  <c r="C323"/>
  <c r="E324" l="1"/>
  <c r="C324"/>
  <c r="F324"/>
  <c r="B324"/>
  <c r="A325"/>
  <c r="D324"/>
  <c r="F330" i="5"/>
  <c r="E330"/>
  <c r="D330"/>
  <c r="B330"/>
  <c r="A331"/>
  <c r="C330"/>
  <c r="E330" i="14"/>
  <c r="D330"/>
  <c r="A331"/>
  <c r="F330"/>
  <c r="C330"/>
  <c r="B330"/>
  <c r="B331" l="1"/>
  <c r="D331"/>
  <c r="E331"/>
  <c r="C331"/>
  <c r="A332"/>
  <c r="F331"/>
  <c r="C331" i="5"/>
  <c r="D331"/>
  <c r="B331"/>
  <c r="A332"/>
  <c r="F331"/>
  <c r="E331"/>
  <c r="B325" i="15"/>
  <c r="A326"/>
  <c r="F325"/>
  <c r="C325"/>
  <c r="D325"/>
  <c r="E325"/>
  <c r="F332" i="14" l="1"/>
  <c r="B332"/>
  <c r="E332"/>
  <c r="D332"/>
  <c r="C332"/>
  <c r="A333"/>
  <c r="D326" i="15"/>
  <c r="A327"/>
  <c r="B326"/>
  <c r="C326"/>
  <c r="E326"/>
  <c r="F326"/>
  <c r="E332" i="5"/>
  <c r="F332"/>
  <c r="B332"/>
  <c r="A333"/>
  <c r="D332"/>
  <c r="C332"/>
  <c r="B333" l="1"/>
  <c r="C333"/>
  <c r="F333"/>
  <c r="D333"/>
  <c r="A334"/>
  <c r="E333"/>
  <c r="B327" i="15"/>
  <c r="A328"/>
  <c r="F327"/>
  <c r="C327"/>
  <c r="D327"/>
  <c r="E327"/>
  <c r="C333" i="14"/>
  <c r="E333"/>
  <c r="D333"/>
  <c r="B333"/>
  <c r="A334"/>
  <c r="F333"/>
  <c r="B334" l="1"/>
  <c r="E334"/>
  <c r="A335"/>
  <c r="C334"/>
  <c r="D334"/>
  <c r="F334"/>
  <c r="C334" i="5"/>
  <c r="E334"/>
  <c r="B334"/>
  <c r="F334"/>
  <c r="A335"/>
  <c r="D334"/>
  <c r="B328" i="15"/>
  <c r="E328"/>
  <c r="A329"/>
  <c r="F328"/>
  <c r="D328"/>
  <c r="C328"/>
  <c r="F329" l="1"/>
  <c r="C329"/>
  <c r="D329"/>
  <c r="A330"/>
  <c r="B329"/>
  <c r="E329"/>
  <c r="E335" i="5"/>
  <c r="F335"/>
  <c r="C335"/>
  <c r="A336"/>
  <c r="B335"/>
  <c r="D335"/>
  <c r="D335" i="14"/>
  <c r="C335"/>
  <c r="F335"/>
  <c r="E335"/>
  <c r="B335"/>
  <c r="A336"/>
  <c r="F336" l="1"/>
  <c r="D336"/>
  <c r="A337"/>
  <c r="C336"/>
  <c r="E336"/>
  <c r="B336"/>
  <c r="E336" i="5"/>
  <c r="D336"/>
  <c r="C336"/>
  <c r="A337"/>
  <c r="B336"/>
  <c r="F336"/>
  <c r="D330" i="15"/>
  <c r="A331"/>
  <c r="F330"/>
  <c r="C330"/>
  <c r="E330"/>
  <c r="B330"/>
  <c r="C337" i="14" l="1"/>
  <c r="E337"/>
  <c r="D337"/>
  <c r="B337"/>
  <c r="F337"/>
  <c r="A338"/>
  <c r="E331" i="15"/>
  <c r="D331"/>
  <c r="C331"/>
  <c r="B331"/>
  <c r="F331"/>
  <c r="A332"/>
  <c r="A338" i="5"/>
  <c r="C337"/>
  <c r="D337"/>
  <c r="F337"/>
  <c r="E337"/>
  <c r="B337"/>
  <c r="B338" l="1"/>
  <c r="F338"/>
  <c r="C338"/>
  <c r="D338"/>
  <c r="E338"/>
  <c r="A339"/>
  <c r="E332" i="15"/>
  <c r="A333"/>
  <c r="B332"/>
  <c r="C332"/>
  <c r="F332"/>
  <c r="D332"/>
  <c r="A339" i="14"/>
  <c r="F338"/>
  <c r="E338"/>
  <c r="C338"/>
  <c r="D338"/>
  <c r="B338"/>
  <c r="F339" l="1"/>
  <c r="C339"/>
  <c r="D339"/>
  <c r="B339"/>
  <c r="A340"/>
  <c r="E339"/>
  <c r="C333" i="15"/>
  <c r="B333"/>
  <c r="D333"/>
  <c r="F333"/>
  <c r="A334"/>
  <c r="E333"/>
  <c r="B339" i="5"/>
  <c r="D339"/>
  <c r="C339"/>
  <c r="E339"/>
  <c r="F339"/>
  <c r="A340"/>
  <c r="E334" i="15" l="1"/>
  <c r="A335"/>
  <c r="D334"/>
  <c r="B334"/>
  <c r="C334"/>
  <c r="F334"/>
  <c r="E340" i="14"/>
  <c r="D340"/>
  <c r="B340"/>
  <c r="C340"/>
  <c r="F340"/>
  <c r="A341"/>
  <c r="B340" i="5"/>
  <c r="F340"/>
  <c r="D340"/>
  <c r="A341"/>
  <c r="E340"/>
  <c r="C340"/>
  <c r="F341" l="1"/>
  <c r="E341"/>
  <c r="A342"/>
  <c r="C341"/>
  <c r="D341"/>
  <c r="B341"/>
  <c r="E341" i="14"/>
  <c r="F341"/>
  <c r="A342"/>
  <c r="D341"/>
  <c r="B341"/>
  <c r="C341"/>
  <c r="E335" i="15"/>
  <c r="B335"/>
  <c r="C335"/>
  <c r="F335"/>
  <c r="D335"/>
  <c r="A336"/>
  <c r="E342" i="14" l="1"/>
  <c r="B342"/>
  <c r="F342"/>
  <c r="C342"/>
  <c r="D342"/>
  <c r="A343"/>
  <c r="B342" i="5"/>
  <c r="A343"/>
  <c r="D342"/>
  <c r="C342"/>
  <c r="F342"/>
  <c r="E342"/>
  <c r="C336" i="15"/>
  <c r="B336"/>
  <c r="F336"/>
  <c r="D336"/>
  <c r="E336"/>
  <c r="A337"/>
  <c r="C337" l="1"/>
  <c r="B337"/>
  <c r="D337"/>
  <c r="E337"/>
  <c r="F337"/>
  <c r="A338"/>
  <c r="D343" i="5"/>
  <c r="E343"/>
  <c r="F343"/>
  <c r="A344"/>
  <c r="C343"/>
  <c r="B343"/>
  <c r="C343" i="14"/>
  <c r="D343"/>
  <c r="F343"/>
  <c r="E343"/>
  <c r="B343"/>
  <c r="A344"/>
  <c r="E344" l="1"/>
  <c r="C344"/>
  <c r="A345"/>
  <c r="F344"/>
  <c r="B344"/>
  <c r="D344"/>
  <c r="E344" i="5"/>
  <c r="C344"/>
  <c r="F344"/>
  <c r="D344"/>
  <c r="B344"/>
  <c r="A345"/>
  <c r="D338" i="15"/>
  <c r="F338"/>
  <c r="A339"/>
  <c r="E338"/>
  <c r="B338"/>
  <c r="C338"/>
  <c r="C339" l="1"/>
  <c r="A340"/>
  <c r="D339"/>
  <c r="E339"/>
  <c r="B339"/>
  <c r="F339"/>
  <c r="D345" i="14"/>
  <c r="F345"/>
  <c r="C345"/>
  <c r="B345"/>
  <c r="A346"/>
  <c r="E345"/>
  <c r="E345" i="5"/>
  <c r="B345"/>
  <c r="D345"/>
  <c r="A346"/>
  <c r="F345"/>
  <c r="C345"/>
  <c r="A347" i="14" l="1"/>
  <c r="B346"/>
  <c r="F346"/>
  <c r="C346"/>
  <c r="E346"/>
  <c r="D346"/>
  <c r="B346" i="5"/>
  <c r="D346"/>
  <c r="C346"/>
  <c r="E346"/>
  <c r="F346"/>
  <c r="A347"/>
  <c r="E340" i="15"/>
  <c r="D340"/>
  <c r="A341"/>
  <c r="F340"/>
  <c r="B340"/>
  <c r="C340"/>
  <c r="A342" l="1"/>
  <c r="F341"/>
  <c r="E341"/>
  <c r="B341"/>
  <c r="C341"/>
  <c r="D341"/>
  <c r="F347" i="14"/>
  <c r="B347"/>
  <c r="A348"/>
  <c r="E347"/>
  <c r="D347"/>
  <c r="C347"/>
  <c r="E347" i="5"/>
  <c r="B347"/>
  <c r="D347"/>
  <c r="A348"/>
  <c r="C347"/>
  <c r="F347"/>
  <c r="E348" l="1"/>
  <c r="D348"/>
  <c r="A349"/>
  <c r="F348"/>
  <c r="B348"/>
  <c r="C348"/>
  <c r="F348" i="14"/>
  <c r="C348"/>
  <c r="A349"/>
  <c r="E348"/>
  <c r="D348"/>
  <c r="B348"/>
  <c r="C342" i="15"/>
  <c r="B342"/>
  <c r="E342"/>
  <c r="D342"/>
  <c r="F342"/>
  <c r="A343"/>
  <c r="E349" i="14" l="1"/>
  <c r="C349"/>
  <c r="A350"/>
  <c r="D349"/>
  <c r="F349"/>
  <c r="B349"/>
  <c r="F349" i="5"/>
  <c r="B349"/>
  <c r="D349"/>
  <c r="A350"/>
  <c r="C349"/>
  <c r="E349"/>
  <c r="D343" i="15"/>
  <c r="B343"/>
  <c r="E343"/>
  <c r="A344"/>
  <c r="F343"/>
  <c r="C343"/>
  <c r="A345" l="1"/>
  <c r="F344"/>
  <c r="C344"/>
  <c r="D344"/>
  <c r="E344"/>
  <c r="B344"/>
  <c r="C350" i="14"/>
  <c r="E350"/>
  <c r="A351"/>
  <c r="F350"/>
  <c r="B350"/>
  <c r="D350"/>
  <c r="E350" i="5"/>
  <c r="F350"/>
  <c r="D350"/>
  <c r="B350"/>
  <c r="A351"/>
  <c r="C350"/>
  <c r="A352" l="1"/>
  <c r="C351"/>
  <c r="D351"/>
  <c r="E351"/>
  <c r="B351"/>
  <c r="F351"/>
  <c r="C351" i="14"/>
  <c r="F351"/>
  <c r="B351"/>
  <c r="E351"/>
  <c r="A352"/>
  <c r="D351"/>
  <c r="F345" i="15"/>
  <c r="D345"/>
  <c r="B345"/>
  <c r="C345"/>
  <c r="A346"/>
  <c r="E345"/>
  <c r="E346" l="1"/>
  <c r="A347"/>
  <c r="B346"/>
  <c r="F346"/>
  <c r="C346"/>
  <c r="D346"/>
  <c r="B352" i="14"/>
  <c r="D352"/>
  <c r="C352"/>
  <c r="F352"/>
  <c r="A353"/>
  <c r="E352"/>
  <c r="E352" i="5"/>
  <c r="F352"/>
  <c r="D352"/>
  <c r="A353"/>
  <c r="B352"/>
  <c r="C352"/>
  <c r="F353" i="14" l="1"/>
  <c r="E353"/>
  <c r="B353"/>
  <c r="A354"/>
  <c r="C353"/>
  <c r="D353"/>
  <c r="F353" i="5"/>
  <c r="A354"/>
  <c r="C353"/>
  <c r="E353"/>
  <c r="B353"/>
  <c r="D353"/>
  <c r="A348" i="15"/>
  <c r="E347"/>
  <c r="C347"/>
  <c r="B347"/>
  <c r="F347"/>
  <c r="D347"/>
  <c r="A349" l="1"/>
  <c r="E348"/>
  <c r="D348"/>
  <c r="C348"/>
  <c r="F348"/>
  <c r="B348"/>
  <c r="A355" i="5"/>
  <c r="C354"/>
  <c r="B354"/>
  <c r="E354"/>
  <c r="F354"/>
  <c r="D354"/>
  <c r="B354" i="14"/>
  <c r="F354"/>
  <c r="C354"/>
  <c r="E354"/>
  <c r="D354"/>
  <c r="A355"/>
  <c r="E355" i="5" l="1"/>
  <c r="B355"/>
  <c r="A356"/>
  <c r="C355"/>
  <c r="D355"/>
  <c r="F355"/>
  <c r="E349" i="15"/>
  <c r="D349"/>
  <c r="A350"/>
  <c r="C349"/>
  <c r="B349"/>
  <c r="F349"/>
  <c r="A356" i="14"/>
  <c r="C355"/>
  <c r="D355"/>
  <c r="B355"/>
  <c r="F355"/>
  <c r="E355"/>
  <c r="D356" l="1"/>
  <c r="E356"/>
  <c r="B356"/>
  <c r="F356"/>
  <c r="A357"/>
  <c r="C356"/>
  <c r="E350" i="15"/>
  <c r="F350"/>
  <c r="A351"/>
  <c r="B350"/>
  <c r="D350"/>
  <c r="C350"/>
  <c r="B356" i="5"/>
  <c r="A357"/>
  <c r="E356"/>
  <c r="F356"/>
  <c r="C356"/>
  <c r="D356"/>
  <c r="C351" i="15" l="1"/>
  <c r="A352"/>
  <c r="D351"/>
  <c r="B351"/>
  <c r="E351"/>
  <c r="F351"/>
  <c r="F357" i="14"/>
  <c r="A358"/>
  <c r="C357"/>
  <c r="D357"/>
  <c r="B357"/>
  <c r="E357"/>
  <c r="D357" i="5"/>
  <c r="E357"/>
  <c r="B357"/>
  <c r="A358"/>
  <c r="F357"/>
  <c r="C357"/>
  <c r="F358" l="1"/>
  <c r="E358"/>
  <c r="C358"/>
  <c r="D358"/>
  <c r="B358"/>
  <c r="A359"/>
  <c r="B358" i="14"/>
  <c r="A359"/>
  <c r="F358"/>
  <c r="C358"/>
  <c r="D358"/>
  <c r="E358"/>
  <c r="E352" i="15"/>
  <c r="D352"/>
  <c r="A353"/>
  <c r="C352"/>
  <c r="B352"/>
  <c r="F352"/>
  <c r="B353" l="1"/>
  <c r="F353"/>
  <c r="E353"/>
  <c r="A354"/>
  <c r="D353"/>
  <c r="C353"/>
  <c r="B359" i="14"/>
  <c r="D359"/>
  <c r="C359"/>
  <c r="E359"/>
  <c r="F359"/>
  <c r="A360"/>
  <c r="B359" i="5"/>
  <c r="E359"/>
  <c r="C359"/>
  <c r="A360"/>
  <c r="D359"/>
  <c r="F359"/>
  <c r="A361" l="1"/>
  <c r="F360"/>
  <c r="E360"/>
  <c r="D360"/>
  <c r="B360"/>
  <c r="C360"/>
  <c r="C360" i="14"/>
  <c r="A361"/>
  <c r="D360"/>
  <c r="E360"/>
  <c r="F360"/>
  <c r="B360"/>
  <c r="F354" i="15"/>
  <c r="B354"/>
  <c r="E354"/>
  <c r="A355"/>
  <c r="D354"/>
  <c r="C354"/>
  <c r="B361" i="5" l="1"/>
  <c r="C361"/>
  <c r="A362"/>
  <c r="F361"/>
  <c r="E361"/>
  <c r="D361"/>
  <c r="C355" i="15"/>
  <c r="A356"/>
  <c r="B355"/>
  <c r="F355"/>
  <c r="E355"/>
  <c r="D355"/>
  <c r="A362" i="14"/>
  <c r="D361"/>
  <c r="B361"/>
  <c r="C361"/>
  <c r="E361"/>
  <c r="F361"/>
  <c r="C362" l="1"/>
  <c r="F362"/>
  <c r="E362"/>
  <c r="B362"/>
  <c r="D362"/>
  <c r="A363"/>
  <c r="A363" i="5"/>
  <c r="C362"/>
  <c r="F362"/>
  <c r="B362"/>
  <c r="E362"/>
  <c r="D362"/>
  <c r="E356" i="15"/>
  <c r="A357"/>
  <c r="F356"/>
  <c r="D356"/>
  <c r="C356"/>
  <c r="B356"/>
  <c r="D363" i="5" l="1"/>
  <c r="E363"/>
  <c r="F363"/>
  <c r="C363"/>
  <c r="B363"/>
  <c r="A364"/>
  <c r="C357" i="15"/>
  <c r="D357"/>
  <c r="B357"/>
  <c r="E357"/>
  <c r="A358"/>
  <c r="F357"/>
  <c r="C363" i="14"/>
  <c r="F363"/>
  <c r="E363"/>
  <c r="B363"/>
  <c r="D363"/>
  <c r="A364"/>
  <c r="A365" l="1"/>
  <c r="E364"/>
  <c r="C364"/>
  <c r="D364"/>
  <c r="B364"/>
  <c r="F364"/>
  <c r="D358" i="15"/>
  <c r="E358"/>
  <c r="F358"/>
  <c r="C358"/>
  <c r="A359"/>
  <c r="B358"/>
  <c r="E364" i="5"/>
  <c r="C364"/>
  <c r="B364"/>
  <c r="F364"/>
  <c r="A365"/>
  <c r="D364"/>
  <c r="D365" l="1"/>
  <c r="B365"/>
  <c r="F365"/>
  <c r="C365"/>
  <c r="A366"/>
  <c r="E365"/>
  <c r="F359" i="15"/>
  <c r="A360"/>
  <c r="B359"/>
  <c r="E359"/>
  <c r="D359"/>
  <c r="C359"/>
  <c r="C365" i="14"/>
  <c r="A366"/>
  <c r="B365"/>
  <c r="D365"/>
  <c r="F365"/>
  <c r="E365"/>
  <c r="E366" i="5" l="1"/>
  <c r="A367"/>
  <c r="D366"/>
  <c r="F366"/>
  <c r="B366"/>
  <c r="C366"/>
  <c r="E366" i="14"/>
  <c r="D366"/>
  <c r="A367"/>
  <c r="F366"/>
  <c r="B366"/>
  <c r="C366"/>
  <c r="C360" i="15"/>
  <c r="D360"/>
  <c r="E360"/>
  <c r="A361"/>
  <c r="F360"/>
  <c r="B360"/>
  <c r="A362" l="1"/>
  <c r="E361"/>
  <c r="F361"/>
  <c r="C361"/>
  <c r="D361"/>
  <c r="B361"/>
  <c r="C367" i="14"/>
  <c r="B367"/>
  <c r="D367"/>
  <c r="F367"/>
  <c r="E367"/>
  <c r="A368"/>
  <c r="C367" i="5"/>
  <c r="D367"/>
  <c r="B367"/>
  <c r="A368"/>
  <c r="F367"/>
  <c r="E367"/>
  <c r="F368" l="1"/>
  <c r="A369"/>
  <c r="D368"/>
  <c r="B368"/>
  <c r="E368"/>
  <c r="C368"/>
  <c r="E362" i="15"/>
  <c r="B362"/>
  <c r="A363"/>
  <c r="D362"/>
  <c r="F362"/>
  <c r="C362"/>
  <c r="C368" i="14"/>
  <c r="A369"/>
  <c r="B368"/>
  <c r="D368"/>
  <c r="F368"/>
  <c r="E368"/>
  <c r="D363" i="15" l="1"/>
  <c r="B363"/>
  <c r="F363"/>
  <c r="A364"/>
  <c r="E363"/>
  <c r="C363"/>
  <c r="E369" i="14"/>
  <c r="C369"/>
  <c r="A370"/>
  <c r="D369"/>
  <c r="F369"/>
  <c r="B369"/>
  <c r="D369" i="5"/>
  <c r="B369"/>
  <c r="A370"/>
  <c r="E369"/>
  <c r="C369"/>
  <c r="F369"/>
  <c r="E370" l="1"/>
  <c r="A371"/>
  <c r="D370"/>
  <c r="C370"/>
  <c r="B370"/>
  <c r="F370"/>
  <c r="D370" i="14"/>
  <c r="A371"/>
  <c r="B370"/>
  <c r="C370"/>
  <c r="F370"/>
  <c r="E370"/>
  <c r="F364" i="15"/>
  <c r="E364"/>
  <c r="D364"/>
  <c r="B364"/>
  <c r="A365"/>
  <c r="C364"/>
  <c r="A366" l="1"/>
  <c r="B365"/>
  <c r="C365"/>
  <c r="D365"/>
  <c r="E365"/>
  <c r="F365"/>
  <c r="C371" i="14"/>
  <c r="D371"/>
  <c r="F371"/>
  <c r="A372"/>
  <c r="E371"/>
  <c r="B371"/>
  <c r="F371" i="5"/>
  <c r="B371"/>
  <c r="D371"/>
  <c r="E371"/>
  <c r="A372"/>
  <c r="C371"/>
  <c r="A373" l="1"/>
  <c r="D372"/>
  <c r="C372"/>
  <c r="B372"/>
  <c r="F372"/>
  <c r="E372"/>
  <c r="F366" i="15"/>
  <c r="E366"/>
  <c r="D366"/>
  <c r="A367"/>
  <c r="B366"/>
  <c r="C366"/>
  <c r="A373" i="14"/>
  <c r="E372"/>
  <c r="B372"/>
  <c r="D372"/>
  <c r="F372"/>
  <c r="C372"/>
  <c r="F373" l="1"/>
  <c r="D373"/>
  <c r="C373"/>
  <c r="E373"/>
  <c r="B373"/>
  <c r="A374"/>
  <c r="A374" i="5"/>
  <c r="F373"/>
  <c r="D373"/>
  <c r="C373"/>
  <c r="E373"/>
  <c r="B373"/>
  <c r="F367" i="15"/>
  <c r="A368"/>
  <c r="E367"/>
  <c r="B367"/>
  <c r="C367"/>
  <c r="D367"/>
  <c r="F374" i="5" l="1"/>
  <c r="E374"/>
  <c r="C374"/>
  <c r="A375"/>
  <c r="B374"/>
  <c r="D374"/>
  <c r="A369" i="15"/>
  <c r="C368"/>
  <c r="D368"/>
  <c r="F368"/>
  <c r="B368"/>
  <c r="E368"/>
  <c r="B374" i="14"/>
  <c r="A375"/>
  <c r="C374"/>
  <c r="E374"/>
  <c r="D374"/>
  <c r="F374"/>
  <c r="E369" i="15" l="1"/>
  <c r="F369"/>
  <c r="A370"/>
  <c r="D369"/>
  <c r="B369"/>
  <c r="C369"/>
  <c r="A376" i="14"/>
  <c r="B375"/>
  <c r="F375"/>
  <c r="D375"/>
  <c r="E375"/>
  <c r="C375"/>
  <c r="A376" i="5"/>
  <c r="B375"/>
  <c r="E375"/>
  <c r="F375"/>
  <c r="C375"/>
  <c r="D375"/>
  <c r="B376" l="1"/>
  <c r="F376"/>
  <c r="E376"/>
  <c r="D376"/>
  <c r="C376"/>
  <c r="A377"/>
  <c r="E376" i="14"/>
  <c r="F376"/>
  <c r="B376"/>
  <c r="A377"/>
  <c r="D376"/>
  <c r="C376"/>
  <c r="C370" i="15"/>
  <c r="F370"/>
  <c r="A371"/>
  <c r="E370"/>
  <c r="D370"/>
  <c r="B370"/>
  <c r="B371" l="1"/>
  <c r="F371"/>
  <c r="D371"/>
  <c r="C371"/>
  <c r="A372"/>
  <c r="E371"/>
  <c r="E377" i="14"/>
  <c r="C377"/>
  <c r="A378"/>
  <c r="D377"/>
  <c r="B377"/>
  <c r="F377"/>
  <c r="F377" i="5"/>
  <c r="A378"/>
  <c r="C377"/>
  <c r="B377"/>
  <c r="D377"/>
  <c r="E377"/>
  <c r="F378" i="14" l="1"/>
  <c r="C378"/>
  <c r="D378"/>
  <c r="E378"/>
  <c r="A379"/>
  <c r="B378"/>
  <c r="D372" i="15"/>
  <c r="E372"/>
  <c r="A373"/>
  <c r="F372"/>
  <c r="B372"/>
  <c r="C372"/>
  <c r="F378" i="5"/>
  <c r="E378"/>
  <c r="C378"/>
  <c r="D378"/>
  <c r="B378"/>
  <c r="A379"/>
  <c r="E373" i="15" l="1"/>
  <c r="B373"/>
  <c r="D373"/>
  <c r="F373"/>
  <c r="C373"/>
  <c r="A374"/>
  <c r="C379" i="14"/>
  <c r="C17" s="1"/>
  <c r="E379"/>
  <c r="D379"/>
  <c r="D17" s="1"/>
  <c r="B379"/>
  <c r="B17" s="1"/>
  <c r="F379"/>
  <c r="E379" i="5"/>
  <c r="D379"/>
  <c r="D17" s="1"/>
  <c r="C379"/>
  <c r="C17" s="1"/>
  <c r="B379"/>
  <c r="B17" s="1"/>
  <c r="F379"/>
  <c r="A375" i="15" l="1"/>
  <c r="D374"/>
  <c r="B374"/>
  <c r="C374"/>
  <c r="E374"/>
  <c r="F374"/>
  <c r="E375" l="1"/>
  <c r="D375"/>
  <c r="F375"/>
  <c r="B375"/>
  <c r="C375"/>
  <c r="A376"/>
  <c r="E376" l="1"/>
  <c r="C376"/>
  <c r="A377"/>
  <c r="F376"/>
  <c r="D376"/>
  <c r="B376"/>
  <c r="A378" l="1"/>
  <c r="B377"/>
  <c r="C377"/>
  <c r="F377"/>
  <c r="D377"/>
  <c r="E377"/>
  <c r="E378" l="1"/>
  <c r="F378"/>
  <c r="C378"/>
  <c r="A379"/>
  <c r="B378"/>
  <c r="D378"/>
  <c r="D379" l="1"/>
  <c r="D17" s="1"/>
  <c r="F379"/>
  <c r="C379"/>
  <c r="C17" s="1"/>
  <c r="B379"/>
  <c r="B17" s="1"/>
  <c r="E379"/>
</calcChain>
</file>

<file path=xl/sharedStrings.xml><?xml version="1.0" encoding="utf-8"?>
<sst xmlns="http://schemas.openxmlformats.org/spreadsheetml/2006/main" count="493" uniqueCount="316">
  <si>
    <t>Capital</t>
  </si>
  <si>
    <t>Total</t>
  </si>
  <si>
    <t xml:space="preserve"> </t>
  </si>
  <si>
    <t>r</t>
  </si>
  <si>
    <t>Reserva</t>
  </si>
  <si>
    <t>A)</t>
  </si>
  <si>
    <t>I</t>
  </si>
  <si>
    <t>II</t>
  </si>
  <si>
    <t>III</t>
  </si>
  <si>
    <t>IV</t>
  </si>
  <si>
    <t>V</t>
  </si>
  <si>
    <t>VI</t>
  </si>
  <si>
    <t>B)</t>
  </si>
  <si>
    <t>VII</t>
  </si>
  <si>
    <t>A-1)</t>
  </si>
  <si>
    <t>VIII</t>
  </si>
  <si>
    <t>IX</t>
  </si>
  <si>
    <t>A-2</t>
  </si>
  <si>
    <t>A-3</t>
  </si>
  <si>
    <t>C)</t>
  </si>
  <si>
    <t>Any 2</t>
  </si>
  <si>
    <t>Vida útil</t>
  </si>
  <si>
    <t>€</t>
  </si>
  <si>
    <t>Empresa:</t>
  </si>
  <si>
    <t>A</t>
  </si>
  <si>
    <t>B</t>
  </si>
  <si>
    <t>C</t>
  </si>
  <si>
    <t>D)</t>
  </si>
  <si>
    <t>Pagament de dividend</t>
  </si>
  <si>
    <t>Saldo inicial</t>
  </si>
  <si>
    <t>Capital nominal</t>
  </si>
  <si>
    <t>General</t>
  </si>
  <si>
    <t>TOTAL</t>
  </si>
  <si>
    <t>D</t>
  </si>
  <si>
    <t>RATIOS</t>
  </si>
  <si>
    <t>PNC / (PNC + PC)</t>
  </si>
  <si>
    <t>(BDI / BAI)</t>
  </si>
  <si>
    <t>Sector:</t>
  </si>
  <si>
    <t>Sanjosex</t>
  </si>
  <si>
    <t>INVERSIÓN</t>
  </si>
  <si>
    <t>PLAN ECONÓMICO - FINANCIERO</t>
  </si>
  <si>
    <t>ALFA</t>
  </si>
  <si>
    <t>Reducido</t>
  </si>
  <si>
    <t>Superreducido</t>
  </si>
  <si>
    <t>Periodo inicial:</t>
  </si>
  <si>
    <t>Tipo impuesto beneficios (IS)</t>
  </si>
  <si>
    <t>Tipo impuesto valor añadido (IVA)</t>
  </si>
  <si>
    <t>FINANCIACIÓN</t>
  </si>
  <si>
    <t>Fondos propios</t>
  </si>
  <si>
    <t>Subvenciones/donaciones</t>
  </si>
  <si>
    <t>Subvenciones</t>
  </si>
  <si>
    <t>Donaciones</t>
  </si>
  <si>
    <t>Deudas largo término</t>
  </si>
  <si>
    <t>Deudas con terceros</t>
  </si>
  <si>
    <t xml:space="preserve">Tesorería </t>
  </si>
  <si>
    <t>Excedente ejercicios anteriores</t>
  </si>
  <si>
    <t>Condiciones deudas con terceros</t>
  </si>
  <si>
    <t>Tipo interés (%)</t>
  </si>
  <si>
    <t>Término (años)</t>
  </si>
  <si>
    <t>Imputación subvención</t>
  </si>
  <si>
    <t>Vida útil (años)</t>
  </si>
  <si>
    <t>- se ha de tener en cuenta que es necesario obtener tanto financiación como inversión, de manera que ni falte ni sobre financiación</t>
  </si>
  <si>
    <t>Estado:</t>
  </si>
  <si>
    <t>PERIODO COBRO Y PAGO</t>
  </si>
  <si>
    <t>PREVISIÓN INGRESOS Y GASTOS</t>
  </si>
  <si>
    <t>Unidades</t>
  </si>
  <si>
    <t>Precio (€/unidad)</t>
  </si>
  <si>
    <t>Otros ingresos</t>
  </si>
  <si>
    <t>Otros ingresos (€)</t>
  </si>
  <si>
    <t>Previsión gastos</t>
  </si>
  <si>
    <t>Aprovisionamientos</t>
  </si>
  <si>
    <t>Otros aprovisionamientos</t>
  </si>
  <si>
    <t>Otros aprovisionamientos (€)</t>
  </si>
  <si>
    <t>Trabajos realizados por terceros</t>
  </si>
  <si>
    <t>Trabajos realizados por terceros (€)</t>
  </si>
  <si>
    <t>Total aprovisionamientos</t>
  </si>
  <si>
    <t>Gastos de personal</t>
  </si>
  <si>
    <t>Sueldos y salarios (€)</t>
  </si>
  <si>
    <t>Seguridad Social (€)</t>
  </si>
  <si>
    <t>Otras variables (€)</t>
  </si>
  <si>
    <t>Otros gastos de explotación</t>
  </si>
  <si>
    <t>Alquileres y cánones (€)</t>
  </si>
  <si>
    <t>Reparación y conservación (€)</t>
  </si>
  <si>
    <t>Profesionales independientes (€)</t>
  </si>
  <si>
    <t>Transportes (€)</t>
  </si>
  <si>
    <t>Seguros (€)</t>
  </si>
  <si>
    <t>Servicios bancarios (€)</t>
  </si>
  <si>
    <t>Publicidad y propaganda (€)</t>
  </si>
  <si>
    <t>Suministros (€)</t>
  </si>
  <si>
    <t>Otros gastos (€)</t>
  </si>
  <si>
    <t>Tributos no estatales (€)</t>
  </si>
  <si>
    <t>Gastos financieros</t>
  </si>
  <si>
    <t>Intereses de deudas (€)</t>
  </si>
  <si>
    <t>Amortización</t>
  </si>
  <si>
    <t>Dotación a la amortización (€)</t>
  </si>
  <si>
    <t>DISTRIBUCIÓN DE BENEFICIOS</t>
  </si>
  <si>
    <t>Ventas</t>
  </si>
  <si>
    <t>Previsión ingresos</t>
  </si>
  <si>
    <t>Ventas IVA Incluido</t>
  </si>
  <si>
    <t>Aprovisionamientos IVA incluido</t>
  </si>
  <si>
    <t>Contado</t>
  </si>
  <si>
    <t>a 30 días</t>
  </si>
  <si>
    <t>a 60 días</t>
  </si>
  <si>
    <t>a 90 días</t>
  </si>
  <si>
    <t>a 120 días</t>
  </si>
  <si>
    <t>Estado</t>
  </si>
  <si>
    <t>PREVISIÓN DE TESORERÍA</t>
  </si>
  <si>
    <t>Inicio</t>
  </si>
  <si>
    <t>Pendiente de cobrar ejercicio anterior</t>
  </si>
  <si>
    <t>FLUJO DE TESORERÍA</t>
  </si>
  <si>
    <t>FLUJO DE TESORERÍA ACUMULADO</t>
  </si>
  <si>
    <t>Total pagos</t>
  </si>
  <si>
    <t>Pendiente</t>
  </si>
  <si>
    <t>Total cobros</t>
  </si>
  <si>
    <t>Préstamo</t>
  </si>
  <si>
    <t>Pendiente de pagar ejercicio anterior</t>
  </si>
  <si>
    <t>Pago inversiones con excedentes</t>
  </si>
  <si>
    <t>Liquidación IVA</t>
  </si>
  <si>
    <r>
      <t xml:space="preserve">RESULTADO DE EXPLOTACIÓN </t>
    </r>
    <r>
      <rPr>
        <sz val="10"/>
        <rFont val="Century Gothic"/>
        <family val="2"/>
      </rPr>
      <t>(1+2+3+4+5+6+7+8+9+10+11)</t>
    </r>
  </si>
  <si>
    <t>CUENTA DE PÉRDIDAS Y GANANCIAS</t>
  </si>
  <si>
    <t>Importe neto de la cifra de negocio</t>
  </si>
  <si>
    <t>Variación de existencias de productos acabados y en curso</t>
  </si>
  <si>
    <t>Trabajos realizados por la empresa para su activo</t>
  </si>
  <si>
    <t>Otros ingresos de explotación</t>
  </si>
  <si>
    <t>Amortización del inmovilizado</t>
  </si>
  <si>
    <t>Imputación de subvenciones de inmovilizado no financiero y otros</t>
  </si>
  <si>
    <t>Excesos de provisiones</t>
  </si>
  <si>
    <t>Deterioro y resultado por alienaciones del inmovilizado</t>
  </si>
  <si>
    <t>Ingresos financieros</t>
  </si>
  <si>
    <t>Variación de valor razonable en instrumentos financieros</t>
  </si>
  <si>
    <t>Diferencias de cambio</t>
  </si>
  <si>
    <t>Deterioro y resultado por venta de instrumentos financieros</t>
  </si>
  <si>
    <r>
      <t xml:space="preserve">RESULTADO FINANCIERO </t>
    </r>
    <r>
      <rPr>
        <sz val="10"/>
        <rFont val="Century Gothic"/>
        <family val="2"/>
      </rPr>
      <t>(12+13+14+15+16)</t>
    </r>
  </si>
  <si>
    <r>
      <t xml:space="preserve">RESULTADO ANTES DE IMPUESTOS </t>
    </r>
    <r>
      <rPr>
        <sz val="10"/>
        <rFont val="Century Gothic"/>
        <family val="2"/>
      </rPr>
      <t>(A+B)</t>
    </r>
  </si>
  <si>
    <t>Impuestos sobre beneficios</t>
  </si>
  <si>
    <r>
      <t xml:space="preserve">RESULTADO DEL EJERCICIO </t>
    </r>
    <r>
      <rPr>
        <sz val="10"/>
        <rFont val="Century Gothic"/>
        <family val="2"/>
      </rPr>
      <t>(C+17)</t>
    </r>
  </si>
  <si>
    <t>BALANCE</t>
  </si>
  <si>
    <t>ACTIVO</t>
  </si>
  <si>
    <r>
      <t>ACTIVO NO CORRIENTE</t>
    </r>
    <r>
      <rPr>
        <sz val="10"/>
        <rFont val="Century Gothic"/>
        <family val="2"/>
      </rPr>
      <t xml:space="preserve"> (I + II + III + IV + V + VI)</t>
    </r>
  </si>
  <si>
    <t>Inmovilizado intangible</t>
  </si>
  <si>
    <t>Inmovilizado material</t>
  </si>
  <si>
    <t>Inversiones inmobiliarias</t>
  </si>
  <si>
    <t>Inversiones en empresas del grupo y asociadas a ll/t</t>
  </si>
  <si>
    <t>Inversiones financieras en ll/t</t>
  </si>
  <si>
    <t>Activos por impuesto diferido</t>
  </si>
  <si>
    <r>
      <t xml:space="preserve">ACTIVO CORRIENTE </t>
    </r>
    <r>
      <rPr>
        <sz val="10"/>
        <rFont val="Century Gothic"/>
        <family val="2"/>
      </rPr>
      <t>(I + II + III + IV + V + VI + VII)</t>
    </r>
  </si>
  <si>
    <t>Activos no corrientes mantenidos para la venta</t>
  </si>
  <si>
    <t>Existencias</t>
  </si>
  <si>
    <t>Deudores comerciales y otras cuentas a cobrar</t>
  </si>
  <si>
    <t>Clientes por ventas y prestaciones de servicios</t>
  </si>
  <si>
    <t>Accionistas por desarrollo exigidos</t>
  </si>
  <si>
    <t>Otros deudores</t>
  </si>
  <si>
    <t>Inversiones en empresas del grupo y asociadas a c/t</t>
  </si>
  <si>
    <t>Inversiones financieras en c/t</t>
  </si>
  <si>
    <t>Periodificaciones en c/t</t>
  </si>
  <si>
    <t>Efectivo y otros activos líquidos equivalentes</t>
  </si>
  <si>
    <r>
      <t xml:space="preserve">TOTAL ACTIVO </t>
    </r>
    <r>
      <rPr>
        <sz val="10"/>
        <rFont val="Century Gothic"/>
        <family val="2"/>
      </rPr>
      <t>(A + B)</t>
    </r>
  </si>
  <si>
    <t>PATRIMONIO NETO Y PASIVO</t>
  </si>
  <si>
    <r>
      <t xml:space="preserve">PATRIMONIO NETO </t>
    </r>
    <r>
      <rPr>
        <sz val="10"/>
        <rFont val="Century Gothic"/>
        <family val="2"/>
      </rPr>
      <t>(A1 + A2 + A3)</t>
    </r>
  </si>
  <si>
    <t>Capital escriturado</t>
  </si>
  <si>
    <t>(Capital no exigido)</t>
  </si>
  <si>
    <t>Prima de emisión</t>
  </si>
  <si>
    <t>Reservas</t>
  </si>
  <si>
    <t>(Acciones y participaciones en patrimonio propias)</t>
  </si>
  <si>
    <t>Resultados de ejercicios anteriores</t>
  </si>
  <si>
    <t>Otras aportaciones de socios</t>
  </si>
  <si>
    <t>Resultado del ejercicio</t>
  </si>
  <si>
    <t>(Dividendo a cuenta)</t>
  </si>
  <si>
    <t>Otros instrumentos de patrimonio</t>
  </si>
  <si>
    <t>Ajustes por cambios de valor</t>
  </si>
  <si>
    <t>Subvenciones, donaciones y legados recibidos</t>
  </si>
  <si>
    <r>
      <t xml:space="preserve">PASIVO NO CORRIENTE </t>
    </r>
    <r>
      <rPr>
        <sz val="10"/>
        <rFont val="Century Gothic"/>
        <family val="2"/>
      </rPr>
      <t>(I + II + III + IV + V)</t>
    </r>
  </si>
  <si>
    <t>Provisiones a largo término</t>
  </si>
  <si>
    <t>Deudas a largo término</t>
  </si>
  <si>
    <t>Deudas con entidades de crédito</t>
  </si>
  <si>
    <t>Creditores por arrendamiento financiero</t>
  </si>
  <si>
    <t>Otros pasivos financieros</t>
  </si>
  <si>
    <t>Deudas con empresas del grupo y asociadas a ll/t</t>
  </si>
  <si>
    <t>Pasivos por impuesto diferido</t>
  </si>
  <si>
    <t>Periodificaciones a largo término</t>
  </si>
  <si>
    <r>
      <t xml:space="preserve">PASIVO CORRIENTE </t>
    </r>
    <r>
      <rPr>
        <sz val="10"/>
        <rFont val="Century Gothic"/>
        <family val="2"/>
      </rPr>
      <t>(I + II + III + IV + V + VI)</t>
    </r>
  </si>
  <si>
    <t>Pasivos vinculados con activos NC mantenidos para la venta</t>
  </si>
  <si>
    <t>Provisiones a corto término</t>
  </si>
  <si>
    <t>Deudas a corto término</t>
  </si>
  <si>
    <t>Deudas con empresas del grupo y asociadas a c/t</t>
  </si>
  <si>
    <t>Creditores comerciales y otras cuentas a pagar</t>
  </si>
  <si>
    <t>Proveedores</t>
  </si>
  <si>
    <t>Otros creditores</t>
  </si>
  <si>
    <t>Periodificaciones a corto término</t>
  </si>
  <si>
    <r>
      <t xml:space="preserve">TOTAL PATRIMONIO NETO Y PASIVO </t>
    </r>
    <r>
      <rPr>
        <sz val="10"/>
        <rFont val="Century Gothic"/>
        <family val="2"/>
      </rPr>
      <t>(A + B + C)</t>
    </r>
  </si>
  <si>
    <t>Ejercicio:</t>
  </si>
  <si>
    <t>Importe total</t>
  </si>
  <si>
    <t>Aportación inicial</t>
  </si>
  <si>
    <t>Amortización pendiente</t>
  </si>
  <si>
    <t xml:space="preserve">Interés nominal </t>
  </si>
  <si>
    <t>Número periodos</t>
  </si>
  <si>
    <t>Frecuencia de pagos</t>
  </si>
  <si>
    <t>Comisión de apertura</t>
  </si>
  <si>
    <t>Cuota de interés</t>
  </si>
  <si>
    <t>C. amort.</t>
  </si>
  <si>
    <t>Total amortizado</t>
  </si>
  <si>
    <t>Cuota</t>
  </si>
  <si>
    <t>Inversión</t>
  </si>
  <si>
    <t>Neto</t>
  </si>
  <si>
    <t>Cuadro amortización</t>
  </si>
  <si>
    <t>LIQUIDACIÓN IMPUESTO SOBRE BENEFICIOS</t>
  </si>
  <si>
    <t>Impuesto a compensar (Hacienda deudora)</t>
  </si>
  <si>
    <t>Impuesto a pagar (Hacienda creditora)</t>
  </si>
  <si>
    <t>Impuesto a compensar períodos posteriores</t>
  </si>
  <si>
    <t>ANÁLISIS DE RATIOS</t>
  </si>
  <si>
    <t>Fondo de Maniobra</t>
  </si>
  <si>
    <t>Comentario</t>
  </si>
  <si>
    <t>Años</t>
  </si>
  <si>
    <t>Terrenos y bienes naturales</t>
  </si>
  <si>
    <t>Construcciones</t>
  </si>
  <si>
    <t>Instalaciones técnicas</t>
  </si>
  <si>
    <t>Maquinaria</t>
  </si>
  <si>
    <t>Utillaje</t>
  </si>
  <si>
    <t>Otras instalaciones</t>
  </si>
  <si>
    <t>Mobiliario</t>
  </si>
  <si>
    <t>Equipos para procesos de información</t>
  </si>
  <si>
    <t>Elementos de transportes</t>
  </si>
  <si>
    <t>Otro inmovilizado material</t>
  </si>
  <si>
    <t>Inversiones en terrenos</t>
  </si>
  <si>
    <t>Inversiones en construcciones</t>
  </si>
  <si>
    <t>Efectivo</t>
  </si>
  <si>
    <t>Bancos</t>
  </si>
  <si>
    <t>IVA Inversión</t>
  </si>
  <si>
    <t>Cuota generada</t>
  </si>
  <si>
    <t>Tesorería</t>
  </si>
  <si>
    <t>Inmovilizado intagible</t>
  </si>
  <si>
    <t>Desarrollo</t>
  </si>
  <si>
    <t>Concesiones administrativas</t>
  </si>
  <si>
    <t>Propiedad industrial</t>
  </si>
  <si>
    <t>Fondo de comercio</t>
  </si>
  <si>
    <t>Derechos de traspaso</t>
  </si>
  <si>
    <t>Aplicaciones informáticas</t>
  </si>
  <si>
    <t>Distribución</t>
  </si>
  <si>
    <t>Reservas legales y estatutarias</t>
  </si>
  <si>
    <t>Otras reservas</t>
  </si>
  <si>
    <t>Dividendo</t>
  </si>
  <si>
    <t>Compensación pérdidas ejercicios anteriores</t>
  </si>
  <si>
    <t>Resultados negativos de ejercicios anteriores</t>
  </si>
  <si>
    <t>LIQUIDACIÓN IVA</t>
  </si>
  <si>
    <t>IVA REPERCUTIDO</t>
  </si>
  <si>
    <t>Tipo</t>
  </si>
  <si>
    <t>Base Imponible</t>
  </si>
  <si>
    <t>Resultado</t>
  </si>
  <si>
    <t>Estados financieros</t>
  </si>
  <si>
    <t>Entrada datos</t>
  </si>
  <si>
    <t>Resultado negativo del ejercicio pendiente de compensar</t>
  </si>
  <si>
    <t>IVA SOPORTADO</t>
  </si>
  <si>
    <t>Totales</t>
  </si>
  <si>
    <t>i</t>
  </si>
  <si>
    <t>Puntos a tener en cuenta:</t>
  </si>
  <si>
    <t>- En el caso de beneficios, primero se ha de dotar una reserva legal del 10% del resultado hasta llegar al 25% del capital.</t>
  </si>
  <si>
    <t>- En el caso de arrastrar pérdidas de ejercicios anteriores, primero habrá que compensar y después dotar la reserva legal.</t>
  </si>
  <si>
    <t>- Una vez compensadas las pérdidas y dotada la reserva legal, se puede proceder a distribuir dividendos.</t>
  </si>
  <si>
    <t>- Es necesario que en los puntos de distribución ponga “OK”. En este caso querrá decir que se han distribuido correctamente todos los beneficios.</t>
  </si>
  <si>
    <t>Liquidez</t>
  </si>
  <si>
    <t>Disponibilidad</t>
  </si>
  <si>
    <t>Fondo de Maniobra / Ventas</t>
  </si>
  <si>
    <t>Fondo de Maniobra / Activo</t>
  </si>
  <si>
    <t>Endeudamiento</t>
  </si>
  <si>
    <t>Calidad Deuda</t>
  </si>
  <si>
    <t>Capacidad Devolución Deuda</t>
  </si>
  <si>
    <t>Cobertura Gastos Financieros</t>
  </si>
  <si>
    <t>Cobertura Cuotas Préstamos</t>
  </si>
  <si>
    <t>Gestión de Activo</t>
  </si>
  <si>
    <t>Rotación Activo Corriente</t>
  </si>
  <si>
    <t>Rotación de Existencias</t>
  </si>
  <si>
    <t>Plazos</t>
  </si>
  <si>
    <t>Periodo Medio de Maduración</t>
  </si>
  <si>
    <t>Plazos de Existencias</t>
  </si>
  <si>
    <t>Plazo de Cobro</t>
  </si>
  <si>
    <t>Plazo de Pago</t>
  </si>
  <si>
    <t>Rentabilidad y Autofinanzamiento</t>
  </si>
  <si>
    <t>Margen</t>
  </si>
  <si>
    <t>Rotación del Activo</t>
  </si>
  <si>
    <t>Rentabilidad Financiera</t>
  </si>
  <si>
    <t>Palancamiento Financiero</t>
  </si>
  <si>
    <t>Efecto Fiscal</t>
  </si>
  <si>
    <t>Coste de la Deuda</t>
  </si>
  <si>
    <t>Flujo de Caja</t>
  </si>
  <si>
    <t>Flujo de Caja / Ventas</t>
  </si>
  <si>
    <t>Crecimiento Equilibrado</t>
  </si>
  <si>
    <t>Activos</t>
  </si>
  <si>
    <t>Deudas</t>
  </si>
  <si>
    <t>Beneficios</t>
  </si>
  <si>
    <t>Rotación Activo No Corriente</t>
  </si>
  <si>
    <t>Rentabilidad Económica</t>
  </si>
  <si>
    <t>(Beneficios N - Beneficios N-1)</t>
  </si>
  <si>
    <t>(Deudas N - Deudas N-1)</t>
  </si>
  <si>
    <t>(Activos N - Activos N-1)</t>
  </si>
  <si>
    <t>(Ventas N - Ventas N-1)</t>
  </si>
  <si>
    <t>(Activo / ((Patrimonio Neto x BAI) / BAII))</t>
  </si>
  <si>
    <t>(BDI / Patrimonio Neto)</t>
  </si>
  <si>
    <t>(Ventas / Activo)</t>
  </si>
  <si>
    <t>(BAII / Ventas)</t>
  </si>
  <si>
    <t>(BAII / Activo)</t>
  </si>
  <si>
    <t>(Gastos Financieros / Deuda Bancaria)</t>
  </si>
  <si>
    <t>(Clientes / Ingresos de Explotación) x 365</t>
  </si>
  <si>
    <t>(Existencias / Consumo de Explotación) x 365</t>
  </si>
  <si>
    <t>(Acreedores Ciales / Consumo de Explotación) x 365</t>
  </si>
  <si>
    <t>(Ventas / Existencias)</t>
  </si>
  <si>
    <t>(Ventas / Activo Corriente)</t>
  </si>
  <si>
    <t>(BAII / Cuotas Préstamos)</t>
  </si>
  <si>
    <t>(Ventas / Activo No Corriente)</t>
  </si>
  <si>
    <t>(BAII / Gastos Financieros)</t>
  </si>
  <si>
    <t>(Beneficio + Amortización) / (PNC + PC)</t>
  </si>
  <si>
    <t>(Efectivo y otros líquidos / Pasivo Corriente)</t>
  </si>
  <si>
    <t>(Activo Corriente - Existencias) / Pasivo Corriente</t>
  </si>
  <si>
    <t>(PNC + PC) / Patrimonio Neto y Pasivo</t>
  </si>
  <si>
    <t>(Activo Corriente - Pasivo Corriente)</t>
  </si>
  <si>
    <t>(Activo Corriente / Pasivo Corriente)</t>
  </si>
  <si>
    <t>(FM / (Gastos explotación) ) x 365</t>
  </si>
</sst>
</file>

<file path=xl/styles.xml><?xml version="1.0" encoding="utf-8"?>
<styleSheet xmlns="http://schemas.openxmlformats.org/spreadsheetml/2006/main">
  <numFmts count="11">
    <numFmt numFmtId="164" formatCode="#,##0\ &quot;pta&quot;;[Red]\-#,##0\ &quot;pta&quot;"/>
    <numFmt numFmtId="165" formatCode="#,##0.00\ &quot;pta&quot;;[Red]\-#,##0.00\ &quot;pta&quot;"/>
    <numFmt numFmtId="166" formatCode="_-* #,##0.00\ _p_t_a_-;\-* #,##0.00\ _p_t_a_-;_-* &quot;-&quot;??\ _p_t_a_-;_-@_-"/>
    <numFmt numFmtId="167" formatCode="#,##0.00_ ;[Red]\-#,##0.00\ "/>
    <numFmt numFmtId="168" formatCode="#,##0_ ;[Red]\-#,##0\ "/>
    <numFmt numFmtId="169" formatCode="_-* #,##0.00\ _€_-;\-* #,##0.00\ _€_-;_-* &quot;-&quot;\ _€_-;_-@_-"/>
    <numFmt numFmtId="170" formatCode="0_ ;[Red]\-0\ "/>
    <numFmt numFmtId="171" formatCode="#,##0.00_ ;\(#,##0.00\)\ "/>
    <numFmt numFmtId="172" formatCode="#,##0.00000"/>
    <numFmt numFmtId="173" formatCode="#,##0.00000_ ;[Red]\-#,##0.00000\ "/>
    <numFmt numFmtId="174" formatCode="0.00\ &quot;años&quot;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8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8"/>
      <color indexed="9"/>
      <name val="Century Gothic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b/>
      <sz val="10"/>
      <color indexed="10"/>
      <name val="Century Gothic"/>
      <family val="2"/>
    </font>
    <font>
      <b/>
      <sz val="8"/>
      <color indexed="12"/>
      <name val="Century Gothic"/>
      <family val="2"/>
    </font>
    <font>
      <sz val="10"/>
      <color indexed="23"/>
      <name val="Century Gothic"/>
      <family val="2"/>
    </font>
    <font>
      <b/>
      <sz val="10"/>
      <color indexed="23"/>
      <name val="Century Gothic"/>
      <family val="2"/>
    </font>
    <font>
      <sz val="8"/>
      <color indexed="23"/>
      <name val="Century Gothic"/>
      <family val="2"/>
    </font>
    <font>
      <sz val="8"/>
      <color indexed="10"/>
      <name val="Arial"/>
      <family val="2"/>
    </font>
    <font>
      <sz val="10"/>
      <color indexed="10"/>
      <name val="Century Gothic"/>
      <family val="2"/>
    </font>
    <font>
      <sz val="8"/>
      <color indexed="9"/>
      <name val="Century Gothic"/>
      <family val="2"/>
    </font>
    <font>
      <sz val="8"/>
      <name val="Arial"/>
      <family val="2"/>
    </font>
    <font>
      <b/>
      <sz val="10"/>
      <color indexed="56"/>
      <name val="Century Gothic"/>
      <family val="2"/>
    </font>
    <font>
      <b/>
      <sz val="9"/>
      <name val="Century Gothic"/>
      <family val="2"/>
    </font>
    <font>
      <b/>
      <sz val="10"/>
      <color indexed="22"/>
      <name val="Century Gothic"/>
      <family val="2"/>
    </font>
    <font>
      <sz val="10"/>
      <color indexed="22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dashed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9"/>
      </top>
      <bottom style="dotted">
        <color indexed="64"/>
      </bottom>
      <diagonal/>
    </border>
    <border>
      <left/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n">
        <color indexed="16"/>
      </right>
      <top/>
      <bottom style="dashed">
        <color indexed="64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/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64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3" fillId="0" borderId="0"/>
    <xf numFmtId="0" fontId="1" fillId="23" borderId="4" applyNumberFormat="0" applyFont="0" applyAlignment="0" applyProtection="0"/>
    <xf numFmtId="0" fontId="8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99">
    <xf numFmtId="0" fontId="0" fillId="0" borderId="0" xfId="0"/>
    <xf numFmtId="0" fontId="0" fillId="0" borderId="0" xfId="0" applyAlignment="1">
      <alignment vertical="center"/>
    </xf>
    <xf numFmtId="164" fontId="6" fillId="0" borderId="0" xfId="60" applyFont="1" applyAlignment="1">
      <alignment vertical="center"/>
    </xf>
    <xf numFmtId="0" fontId="27" fillId="24" borderId="10" xfId="0" applyFont="1" applyFill="1" applyBorder="1" applyAlignment="1">
      <alignment vertical="center"/>
    </xf>
    <xf numFmtId="1" fontId="4" fillId="0" borderId="0" xfId="63" applyNumberFormat="1" applyFont="1" applyAlignment="1">
      <alignment vertical="center"/>
    </xf>
    <xf numFmtId="0" fontId="4" fillId="0" borderId="0" xfId="63" applyFont="1" applyAlignment="1">
      <alignment vertical="center"/>
    </xf>
    <xf numFmtId="0" fontId="5" fillId="0" borderId="0" xfId="63" applyFont="1" applyAlignment="1">
      <alignment vertical="center"/>
    </xf>
    <xf numFmtId="1" fontId="5" fillId="0" borderId="0" xfId="63" applyNumberFormat="1" applyFont="1" applyAlignment="1">
      <alignment vertical="center"/>
    </xf>
    <xf numFmtId="10" fontId="5" fillId="0" borderId="0" xfId="66" applyNumberFormat="1" applyFont="1" applyAlignment="1">
      <alignment vertical="center"/>
    </xf>
    <xf numFmtId="0" fontId="6" fillId="0" borderId="0" xfId="63" applyFont="1" applyAlignment="1">
      <alignment vertical="center"/>
    </xf>
    <xf numFmtId="10" fontId="5" fillId="0" borderId="0" xfId="63" applyNumberFormat="1" applyFont="1" applyAlignment="1">
      <alignment vertical="center"/>
    </xf>
    <xf numFmtId="169" fontId="5" fillId="0" borderId="0" xfId="60" applyNumberFormat="1" applyFont="1" applyAlignment="1">
      <alignment vertical="center"/>
    </xf>
    <xf numFmtId="166" fontId="5" fillId="0" borderId="0" xfId="63" applyNumberFormat="1" applyFont="1" applyAlignment="1">
      <alignment vertical="center"/>
    </xf>
    <xf numFmtId="1" fontId="5" fillId="0" borderId="0" xfId="63" applyNumberFormat="1" applyFont="1" applyAlignment="1">
      <alignment horizontal="center" vertical="center"/>
    </xf>
    <xf numFmtId="4" fontId="5" fillId="0" borderId="0" xfId="63" applyNumberFormat="1" applyFont="1" applyAlignment="1">
      <alignment vertical="center"/>
    </xf>
    <xf numFmtId="3" fontId="5" fillId="0" borderId="0" xfId="63" applyNumberFormat="1" applyFont="1" applyAlignment="1">
      <alignment vertical="center"/>
    </xf>
    <xf numFmtId="1" fontId="5" fillId="0" borderId="0" xfId="63" applyNumberFormat="1" applyFont="1" applyFill="1" applyAlignment="1">
      <alignment vertical="center"/>
    </xf>
    <xf numFmtId="4" fontId="5" fillId="0" borderId="0" xfId="63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7" fontId="25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7" fontId="4" fillId="0" borderId="12" xfId="0" applyNumberFormat="1" applyFont="1" applyFill="1" applyBorder="1" applyAlignment="1">
      <alignment vertical="center"/>
    </xf>
    <xf numFmtId="171" fontId="26" fillId="0" borderId="12" xfId="0" applyNumberFormat="1" applyFont="1" applyBorder="1" applyAlignment="1">
      <alignment vertical="center"/>
    </xf>
    <xf numFmtId="10" fontId="26" fillId="0" borderId="12" xfId="6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7" fillId="24" borderId="13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71" fontId="29" fillId="24" borderId="13" xfId="0" applyNumberFormat="1" applyFont="1" applyFill="1" applyBorder="1" applyAlignment="1">
      <alignment vertical="center"/>
    </xf>
    <xf numFmtId="10" fontId="29" fillId="24" borderId="13" xfId="6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1" fontId="6" fillId="0" borderId="14" xfId="0" applyNumberFormat="1" applyFont="1" applyBorder="1" applyAlignment="1">
      <alignment vertical="center"/>
    </xf>
    <xf numFmtId="10" fontId="6" fillId="0" borderId="10" xfId="66" applyNumberFormat="1" applyFont="1" applyBorder="1" applyAlignment="1">
      <alignment horizontal="right" vertical="center"/>
    </xf>
    <xf numFmtId="0" fontId="28" fillId="24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1" fontId="29" fillId="24" borderId="10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0" fontId="6" fillId="0" borderId="16" xfId="66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29" fillId="24" borderId="10" xfId="66" applyNumberFormat="1" applyFont="1" applyFill="1" applyBorder="1" applyAlignment="1">
      <alignment horizontal="right" vertical="center"/>
    </xf>
    <xf numFmtId="10" fontId="6" fillId="0" borderId="13" xfId="66" applyNumberFormat="1" applyFont="1" applyBorder="1" applyAlignment="1">
      <alignment horizontal="right" vertical="center"/>
    </xf>
    <xf numFmtId="171" fontId="2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1" fontId="6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vertical="center"/>
    </xf>
    <xf numFmtId="171" fontId="6" fillId="0" borderId="11" xfId="0" applyNumberFormat="1" applyFont="1" applyBorder="1" applyAlignment="1">
      <alignment vertical="center"/>
    </xf>
    <xf numFmtId="10" fontId="26" fillId="0" borderId="10" xfId="66" applyNumberFormat="1" applyFont="1" applyBorder="1" applyAlignment="1">
      <alignment horizontal="right" vertical="center"/>
    </xf>
    <xf numFmtId="171" fontId="6" fillId="0" borderId="0" xfId="0" applyNumberFormat="1" applyFont="1" applyBorder="1" applyAlignment="1">
      <alignment vertical="center"/>
    </xf>
    <xf numFmtId="171" fontId="29" fillId="24" borderId="0" xfId="0" applyNumberFormat="1" applyFont="1" applyFill="1" applyBorder="1" applyAlignment="1">
      <alignment vertical="center"/>
    </xf>
    <xf numFmtId="10" fontId="6" fillId="0" borderId="0" xfId="66" applyNumberFormat="1" applyFont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171" fontId="29" fillId="24" borderId="0" xfId="0" applyNumberFormat="1" applyFont="1" applyFill="1" applyAlignment="1">
      <alignment vertical="center"/>
    </xf>
    <xf numFmtId="4" fontId="6" fillId="0" borderId="15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67" fontId="3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0" fontId="6" fillId="0" borderId="0" xfId="66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0" fontId="29" fillId="0" borderId="0" xfId="66" applyNumberFormat="1" applyFont="1" applyFill="1" applyBorder="1" applyAlignment="1">
      <alignment horizontal="right" vertical="center"/>
    </xf>
    <xf numFmtId="10" fontId="6" fillId="0" borderId="0" xfId="66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0" fontId="4" fillId="0" borderId="17" xfId="0" applyNumberFormat="1" applyFont="1" applyFill="1" applyBorder="1" applyAlignment="1">
      <alignment horizontal="center" vertical="center"/>
    </xf>
    <xf numFmtId="169" fontId="4" fillId="0" borderId="0" xfId="60" applyNumberFormat="1" applyFont="1" applyAlignment="1">
      <alignment vertical="center"/>
    </xf>
    <xf numFmtId="167" fontId="4" fillId="0" borderId="0" xfId="0" applyNumberFormat="1" applyFont="1" applyAlignment="1">
      <alignment horizontal="left" vertical="center" shrinkToFit="1"/>
    </xf>
    <xf numFmtId="0" fontId="32" fillId="0" borderId="17" xfId="0" applyFont="1" applyBorder="1" applyAlignment="1">
      <alignment vertical="center"/>
    </xf>
    <xf numFmtId="1" fontId="4" fillId="0" borderId="17" xfId="63" applyNumberFormat="1" applyFont="1" applyBorder="1" applyAlignment="1">
      <alignment horizontal="center" vertical="center"/>
    </xf>
    <xf numFmtId="0" fontId="4" fillId="0" borderId="17" xfId="63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5" fillId="25" borderId="18" xfId="0" applyNumberFormat="1" applyFont="1" applyFill="1" applyBorder="1" applyAlignment="1" applyProtection="1">
      <alignment vertical="center"/>
      <protection locked="0"/>
    </xf>
    <xf numFmtId="167" fontId="5" fillId="26" borderId="18" xfId="0" applyNumberFormat="1" applyFont="1" applyFill="1" applyBorder="1" applyAlignment="1" applyProtection="1">
      <alignment vertical="center"/>
      <protection locked="0"/>
    </xf>
    <xf numFmtId="167" fontId="5" fillId="27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171" fontId="6" fillId="0" borderId="19" xfId="0" applyNumberFormat="1" applyFont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0" fontId="29" fillId="24" borderId="0" xfId="66" applyNumberFormat="1" applyFont="1" applyFill="1" applyBorder="1" applyAlignment="1">
      <alignment horizontal="right" vertical="center"/>
    </xf>
    <xf numFmtId="171" fontId="29" fillId="24" borderId="20" xfId="0" applyNumberFormat="1" applyFont="1" applyFill="1" applyBorder="1" applyAlignment="1">
      <alignment vertical="center"/>
    </xf>
    <xf numFmtId="171" fontId="29" fillId="24" borderId="2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1" fontId="29" fillId="24" borderId="22" xfId="0" applyNumberFormat="1" applyFont="1" applyFill="1" applyBorder="1" applyAlignment="1">
      <alignment vertical="center"/>
    </xf>
    <xf numFmtId="171" fontId="29" fillId="24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1" fontId="29" fillId="24" borderId="24" xfId="0" applyNumberFormat="1" applyFont="1" applyFill="1" applyBorder="1" applyAlignment="1">
      <alignment vertical="center"/>
    </xf>
    <xf numFmtId="173" fontId="39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167" fontId="26" fillId="0" borderId="0" xfId="0" applyNumberFormat="1" applyFont="1" applyBorder="1" applyAlignment="1">
      <alignment vertical="center"/>
    </xf>
    <xf numFmtId="10" fontId="6" fillId="0" borderId="0" xfId="66" applyNumberFormat="1" applyFont="1" applyBorder="1" applyAlignment="1">
      <alignment horizontal="center" vertical="center"/>
    </xf>
    <xf numFmtId="167" fontId="5" fillId="25" borderId="25" xfId="0" applyNumberFormat="1" applyFont="1" applyFill="1" applyBorder="1" applyAlignment="1" applyProtection="1">
      <alignment vertical="center"/>
    </xf>
    <xf numFmtId="167" fontId="5" fillId="26" borderId="26" xfId="0" applyNumberFormat="1" applyFont="1" applyFill="1" applyBorder="1" applyAlignment="1" applyProtection="1">
      <alignment vertical="center"/>
    </xf>
    <xf numFmtId="167" fontId="5" fillId="27" borderId="26" xfId="0" applyNumberFormat="1" applyFont="1" applyFill="1" applyBorder="1" applyAlignment="1" applyProtection="1">
      <alignment vertical="center"/>
    </xf>
    <xf numFmtId="10" fontId="5" fillId="25" borderId="18" xfId="66" applyNumberFormat="1" applyFont="1" applyFill="1" applyBorder="1" applyAlignment="1" applyProtection="1">
      <alignment vertical="center"/>
      <protection locked="0"/>
    </xf>
    <xf numFmtId="10" fontId="5" fillId="26" borderId="18" xfId="66" applyNumberFormat="1" applyFont="1" applyFill="1" applyBorder="1" applyAlignment="1" applyProtection="1">
      <alignment vertical="center"/>
      <protection locked="0"/>
    </xf>
    <xf numFmtId="10" fontId="5" fillId="27" borderId="18" xfId="66" applyNumberFormat="1" applyFont="1" applyFill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7" fillId="28" borderId="27" xfId="0" applyFont="1" applyFill="1" applyBorder="1" applyAlignment="1" applyProtection="1">
      <alignment vertical="center"/>
    </xf>
    <xf numFmtId="0" fontId="28" fillId="28" borderId="28" xfId="0" applyFont="1" applyFill="1" applyBorder="1" applyAlignment="1" applyProtection="1">
      <alignment vertical="center"/>
    </xf>
    <xf numFmtId="167" fontId="28" fillId="28" borderId="28" xfId="0" applyNumberFormat="1" applyFont="1" applyFill="1" applyBorder="1" applyAlignment="1" applyProtection="1">
      <alignment vertical="center"/>
    </xf>
    <xf numFmtId="0" fontId="28" fillId="28" borderId="29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8" fontId="4" fillId="0" borderId="0" xfId="0" applyNumberFormat="1" applyFont="1" applyBorder="1" applyAlignment="1" applyProtection="1">
      <alignment horizontal="center" vertical="center"/>
    </xf>
    <xf numFmtId="167" fontId="5" fillId="0" borderId="17" xfId="0" applyNumberFormat="1" applyFont="1" applyBorder="1" applyAlignment="1" applyProtection="1">
      <alignment vertical="center"/>
    </xf>
    <xf numFmtId="170" fontId="4" fillId="0" borderId="17" xfId="0" applyNumberFormat="1" applyFont="1" applyBorder="1" applyAlignment="1" applyProtection="1">
      <alignment horizontal="right" vertical="center"/>
    </xf>
    <xf numFmtId="170" fontId="4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170" fontId="4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1" fontId="5" fillId="0" borderId="0" xfId="66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7" fontId="27" fillId="28" borderId="27" xfId="0" applyNumberFormat="1" applyFont="1" applyFill="1" applyBorder="1" applyAlignment="1" applyProtection="1">
      <alignment vertical="center"/>
    </xf>
    <xf numFmtId="167" fontId="27" fillId="28" borderId="28" xfId="0" applyNumberFormat="1" applyFont="1" applyFill="1" applyBorder="1" applyAlignment="1" applyProtection="1">
      <alignment vertical="center"/>
    </xf>
    <xf numFmtId="0" fontId="5" fillId="28" borderId="28" xfId="0" applyFont="1" applyFill="1" applyBorder="1" applyAlignment="1" applyProtection="1">
      <alignment vertical="center"/>
    </xf>
    <xf numFmtId="167" fontId="27" fillId="28" borderId="29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167" fontId="4" fillId="25" borderId="17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67" fontId="4" fillId="26" borderId="17" xfId="0" applyNumberFormat="1" applyFont="1" applyFill="1" applyBorder="1" applyAlignment="1" applyProtection="1">
      <alignment vertical="center"/>
    </xf>
    <xf numFmtId="167" fontId="4" fillId="0" borderId="17" xfId="0" applyNumberFormat="1" applyFont="1" applyBorder="1" applyAlignment="1" applyProtection="1">
      <alignment vertical="center"/>
    </xf>
    <xf numFmtId="167" fontId="4" fillId="27" borderId="3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167" fontId="5" fillId="25" borderId="32" xfId="0" applyNumberFormat="1" applyFont="1" applyFill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167" fontId="5" fillId="25" borderId="0" xfId="0" applyNumberFormat="1" applyFont="1" applyFill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7" fontId="5" fillId="0" borderId="0" xfId="0" applyNumberFormat="1" applyFont="1" applyFill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70" fontId="4" fillId="0" borderId="30" xfId="0" applyNumberFormat="1" applyFont="1" applyBorder="1" applyAlignment="1" applyProtection="1">
      <alignment horizontal="right" vertical="center"/>
    </xf>
    <xf numFmtId="167" fontId="5" fillId="25" borderId="35" xfId="66" applyNumberFormat="1" applyFont="1" applyFill="1" applyBorder="1" applyAlignment="1" applyProtection="1">
      <alignment vertical="center"/>
    </xf>
    <xf numFmtId="167" fontId="5" fillId="25" borderId="32" xfId="66" applyNumberFormat="1" applyFont="1" applyFill="1" applyBorder="1" applyAlignment="1" applyProtection="1">
      <alignment vertical="center"/>
    </xf>
    <xf numFmtId="167" fontId="5" fillId="0" borderId="0" xfId="66" applyNumberFormat="1" applyFont="1" applyFill="1" applyBorder="1" applyAlignment="1" applyProtection="1">
      <alignment vertical="center"/>
    </xf>
    <xf numFmtId="167" fontId="5" fillId="25" borderId="0" xfId="66" applyNumberFormat="1" applyFont="1" applyFill="1" applyAlignment="1" applyProtection="1">
      <alignment vertical="center"/>
    </xf>
    <xf numFmtId="167" fontId="5" fillId="0" borderId="0" xfId="66" applyNumberFormat="1" applyFont="1" applyAlignment="1" applyProtection="1">
      <alignment vertical="center"/>
    </xf>
    <xf numFmtId="167" fontId="5" fillId="26" borderId="35" xfId="66" applyNumberFormat="1" applyFont="1" applyFill="1" applyBorder="1" applyAlignment="1" applyProtection="1">
      <alignment vertical="center"/>
    </xf>
    <xf numFmtId="167" fontId="5" fillId="0" borderId="32" xfId="66" applyNumberFormat="1" applyFont="1" applyBorder="1" applyAlignment="1" applyProtection="1">
      <alignment vertical="center"/>
    </xf>
    <xf numFmtId="167" fontId="5" fillId="27" borderId="36" xfId="66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167" fontId="4" fillId="25" borderId="38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167" fontId="4" fillId="26" borderId="38" xfId="0" applyNumberFormat="1" applyFont="1" applyFill="1" applyBorder="1" applyAlignment="1" applyProtection="1">
      <alignment vertical="center"/>
    </xf>
    <xf numFmtId="167" fontId="4" fillId="0" borderId="38" xfId="0" applyNumberFormat="1" applyFont="1" applyBorder="1" applyAlignment="1" applyProtection="1">
      <alignment vertical="center"/>
    </xf>
    <xf numFmtId="167" fontId="4" fillId="27" borderId="39" xfId="0" applyNumberFormat="1" applyFont="1" applyFill="1" applyBorder="1" applyAlignment="1" applyProtection="1">
      <alignment vertical="center"/>
    </xf>
    <xf numFmtId="167" fontId="5" fillId="27" borderId="18" xfId="66" applyNumberFormat="1" applyFont="1" applyFill="1" applyBorder="1" applyAlignment="1" applyProtection="1">
      <alignment vertical="center"/>
      <protection locked="0"/>
    </xf>
    <xf numFmtId="167" fontId="5" fillId="26" borderId="18" xfId="66" applyNumberFormat="1" applyFont="1" applyFill="1" applyBorder="1" applyAlignment="1" applyProtection="1">
      <alignment vertical="center"/>
      <protection locked="0"/>
    </xf>
    <xf numFmtId="167" fontId="5" fillId="25" borderId="18" xfId="66" applyNumberFormat="1" applyFont="1" applyFill="1" applyBorder="1" applyAlignment="1" applyProtection="1">
      <alignment vertical="center"/>
      <protection locked="0"/>
    </xf>
    <xf numFmtId="0" fontId="27" fillId="29" borderId="27" xfId="0" applyFont="1" applyFill="1" applyBorder="1" applyAlignment="1" applyProtection="1">
      <alignment vertical="center"/>
    </xf>
    <xf numFmtId="0" fontId="28" fillId="29" borderId="28" xfId="0" applyFont="1" applyFill="1" applyBorder="1" applyAlignment="1" applyProtection="1">
      <alignment vertical="center"/>
    </xf>
    <xf numFmtId="0" fontId="27" fillId="29" borderId="28" xfId="0" applyFont="1" applyFill="1" applyBorder="1" applyAlignment="1" applyProtection="1">
      <alignment vertical="center"/>
    </xf>
    <xf numFmtId="167" fontId="5" fillId="0" borderId="40" xfId="0" applyNumberFormat="1" applyFont="1" applyBorder="1" applyAlignment="1" applyProtection="1">
      <alignment vertical="center"/>
    </xf>
    <xf numFmtId="0" fontId="27" fillId="30" borderId="27" xfId="0" applyFont="1" applyFill="1" applyBorder="1" applyAlignment="1" applyProtection="1">
      <alignment vertical="center"/>
    </xf>
    <xf numFmtId="0" fontId="28" fillId="30" borderId="28" xfId="0" applyFont="1" applyFill="1" applyBorder="1" applyAlignment="1" applyProtection="1">
      <alignment vertical="center"/>
    </xf>
    <xf numFmtId="0" fontId="28" fillId="30" borderId="29" xfId="0" applyFont="1" applyFill="1" applyBorder="1" applyAlignment="1" applyProtection="1">
      <alignment vertical="center"/>
    </xf>
    <xf numFmtId="10" fontId="5" fillId="0" borderId="0" xfId="66" applyNumberFormat="1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0" fontId="5" fillId="25" borderId="25" xfId="66" applyNumberFormat="1" applyFont="1" applyFill="1" applyBorder="1" applyAlignment="1" applyProtection="1">
      <alignment vertical="center"/>
    </xf>
    <xf numFmtId="10" fontId="5" fillId="25" borderId="41" xfId="66" applyNumberFormat="1" applyFont="1" applyFill="1" applyBorder="1" applyAlignment="1" applyProtection="1">
      <alignment vertical="center"/>
    </xf>
    <xf numFmtId="10" fontId="5" fillId="25" borderId="42" xfId="66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10" fontId="5" fillId="25" borderId="26" xfId="66" applyNumberFormat="1" applyFont="1" applyFill="1" applyBorder="1" applyAlignment="1" applyProtection="1">
      <alignment vertical="center"/>
    </xf>
    <xf numFmtId="10" fontId="5" fillId="25" borderId="43" xfId="66" applyNumberFormat="1" applyFont="1" applyFill="1" applyBorder="1" applyAlignment="1" applyProtection="1">
      <alignment vertical="center"/>
    </xf>
    <xf numFmtId="10" fontId="5" fillId="25" borderId="44" xfId="66" applyNumberFormat="1" applyFont="1" applyFill="1" applyBorder="1" applyAlignment="1" applyProtection="1">
      <alignment vertical="center"/>
    </xf>
    <xf numFmtId="10" fontId="5" fillId="25" borderId="35" xfId="66" applyNumberFormat="1" applyFont="1" applyFill="1" applyBorder="1" applyAlignment="1" applyProtection="1">
      <alignment vertical="center"/>
    </xf>
    <xf numFmtId="10" fontId="5" fillId="25" borderId="32" xfId="66" applyNumberFormat="1" applyFont="1" applyFill="1" applyBorder="1" applyAlignment="1" applyProtection="1">
      <alignment vertical="center"/>
    </xf>
    <xf numFmtId="10" fontId="5" fillId="25" borderId="36" xfId="66" applyNumberFormat="1" applyFont="1" applyFill="1" applyBorder="1" applyAlignment="1" applyProtection="1">
      <alignment vertical="center"/>
    </xf>
    <xf numFmtId="10" fontId="5" fillId="25" borderId="45" xfId="66" applyNumberFormat="1" applyFont="1" applyFill="1" applyBorder="1" applyAlignment="1" applyProtection="1">
      <alignment vertical="center"/>
    </xf>
    <xf numFmtId="10" fontId="5" fillId="25" borderId="46" xfId="66" applyNumberFormat="1" applyFont="1" applyFill="1" applyBorder="1" applyAlignment="1" applyProtection="1">
      <alignment vertical="center"/>
    </xf>
    <xf numFmtId="10" fontId="5" fillId="25" borderId="47" xfId="66" applyNumberFormat="1" applyFont="1" applyFill="1" applyBorder="1" applyAlignment="1" applyProtection="1">
      <alignment vertical="center"/>
    </xf>
    <xf numFmtId="0" fontId="27" fillId="31" borderId="0" xfId="0" applyFont="1" applyFill="1" applyAlignment="1" applyProtection="1">
      <alignment vertical="center"/>
    </xf>
    <xf numFmtId="0" fontId="28" fillId="31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7" fillId="24" borderId="0" xfId="0" applyFont="1" applyFill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10" fontId="4" fillId="0" borderId="18" xfId="66" applyNumberFormat="1" applyFont="1" applyBorder="1" applyAlignment="1" applyProtection="1">
      <alignment horizontal="center" vertical="center"/>
      <protection locked="0"/>
    </xf>
    <xf numFmtId="0" fontId="4" fillId="25" borderId="0" xfId="0" applyFont="1" applyFill="1" applyAlignment="1" applyProtection="1">
      <alignment vertical="center"/>
    </xf>
    <xf numFmtId="167" fontId="4" fillId="25" borderId="0" xfId="0" applyNumberFormat="1" applyFont="1" applyFill="1" applyAlignment="1" applyProtection="1">
      <alignment vertical="center"/>
    </xf>
    <xf numFmtId="0" fontId="4" fillId="26" borderId="0" xfId="0" applyFont="1" applyFill="1" applyAlignment="1" applyProtection="1">
      <alignment vertical="center"/>
    </xf>
    <xf numFmtId="167" fontId="4" fillId="26" borderId="0" xfId="0" applyNumberFormat="1" applyFont="1" applyFill="1" applyAlignment="1" applyProtection="1">
      <alignment vertical="center"/>
    </xf>
    <xf numFmtId="167" fontId="40" fillId="0" borderId="0" xfId="0" applyNumberFormat="1" applyFont="1" applyAlignment="1" applyProtection="1">
      <alignment vertical="center"/>
    </xf>
    <xf numFmtId="0" fontId="4" fillId="27" borderId="0" xfId="0" applyFont="1" applyFill="1" applyAlignment="1" applyProtection="1">
      <alignment vertical="center"/>
    </xf>
    <xf numFmtId="167" fontId="4" fillId="27" borderId="0" xfId="0" applyNumberFormat="1" applyFont="1" applyFill="1" applyAlignment="1" applyProtection="1">
      <alignment vertical="center"/>
    </xf>
    <xf numFmtId="1" fontId="4" fillId="0" borderId="0" xfId="63" applyNumberFormat="1" applyFont="1" applyAlignment="1">
      <alignment horizontal="left" vertical="center"/>
    </xf>
    <xf numFmtId="4" fontId="4" fillId="0" borderId="0" xfId="63" applyNumberFormat="1" applyFont="1" applyAlignment="1">
      <alignment vertical="center"/>
    </xf>
    <xf numFmtId="9" fontId="5" fillId="0" borderId="0" xfId="63" applyNumberFormat="1" applyFont="1" applyAlignment="1">
      <alignment vertical="center"/>
    </xf>
    <xf numFmtId="0" fontId="5" fillId="0" borderId="0" xfId="63" applyFont="1" applyFill="1" applyAlignment="1">
      <alignment vertical="center"/>
    </xf>
    <xf numFmtId="165" fontId="5" fillId="0" borderId="0" xfId="63" applyNumberFormat="1" applyFont="1" applyFill="1" applyAlignment="1">
      <alignment vertical="center"/>
    </xf>
    <xf numFmtId="165" fontId="5" fillId="0" borderId="0" xfId="63" applyNumberFormat="1" applyFont="1" applyAlignment="1">
      <alignment vertical="center"/>
    </xf>
    <xf numFmtId="170" fontId="4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vertical="center"/>
    </xf>
    <xf numFmtId="167" fontId="26" fillId="0" borderId="48" xfId="0" applyNumberFormat="1" applyFont="1" applyBorder="1" applyAlignment="1">
      <alignment vertical="center"/>
    </xf>
    <xf numFmtId="171" fontId="29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172" fontId="41" fillId="0" borderId="0" xfId="0" applyNumberFormat="1" applyFont="1" applyAlignment="1">
      <alignment vertical="center"/>
    </xf>
    <xf numFmtId="172" fontId="28" fillId="0" borderId="0" xfId="0" applyNumberFormat="1" applyFont="1" applyAlignment="1">
      <alignment vertical="center"/>
    </xf>
    <xf numFmtId="172" fontId="28" fillId="0" borderId="0" xfId="0" applyNumberFormat="1" applyFont="1" applyFill="1" applyAlignment="1">
      <alignment vertical="center"/>
    </xf>
    <xf numFmtId="171" fontId="0" fillId="0" borderId="0" xfId="0" applyNumberFormat="1"/>
    <xf numFmtId="4" fontId="5" fillId="0" borderId="0" xfId="63" applyNumberFormat="1" applyFont="1" applyFill="1" applyAlignment="1">
      <alignment horizontal="right" vertical="center"/>
    </xf>
    <xf numFmtId="167" fontId="4" fillId="25" borderId="17" xfId="0" applyNumberFormat="1" applyFont="1" applyFill="1" applyBorder="1" applyAlignment="1" applyProtection="1">
      <alignment horizontal="right" vertical="center"/>
    </xf>
    <xf numFmtId="167" fontId="5" fillId="0" borderId="0" xfId="0" applyNumberFormat="1" applyFont="1" applyFill="1" applyAlignment="1" applyProtection="1">
      <alignment horizontal="right" vertical="center"/>
    </xf>
    <xf numFmtId="167" fontId="5" fillId="25" borderId="35" xfId="66" applyNumberFormat="1" applyFont="1" applyFill="1" applyBorder="1" applyAlignment="1" applyProtection="1">
      <alignment horizontal="right" vertical="center"/>
    </xf>
    <xf numFmtId="167" fontId="5" fillId="25" borderId="32" xfId="66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Border="1" applyAlignment="1" applyProtection="1">
      <alignment horizontal="center" vertical="center" wrapText="1"/>
    </xf>
    <xf numFmtId="167" fontId="4" fillId="0" borderId="0" xfId="0" applyNumberFormat="1" applyFont="1" applyAlignment="1" applyProtection="1">
      <alignment horizontal="center" vertical="center"/>
    </xf>
    <xf numFmtId="167" fontId="35" fillId="0" borderId="0" xfId="0" applyNumberFormat="1" applyFont="1" applyAlignment="1" applyProtection="1">
      <alignment horizontal="center" vertical="center"/>
    </xf>
    <xf numFmtId="167" fontId="35" fillId="0" borderId="0" xfId="0" applyNumberFormat="1" applyFont="1" applyAlignment="1" applyProtection="1">
      <alignment horizontal="left" vertical="center"/>
    </xf>
    <xf numFmtId="167" fontId="26" fillId="0" borderId="0" xfId="0" applyNumberFormat="1" applyFont="1" applyAlignment="1" applyProtection="1">
      <alignment vertical="center"/>
    </xf>
    <xf numFmtId="167" fontId="26" fillId="32" borderId="0" xfId="0" applyNumberFormat="1" applyFont="1" applyFill="1" applyBorder="1" applyAlignment="1" applyProtection="1">
      <alignment vertical="center"/>
    </xf>
    <xf numFmtId="167" fontId="4" fillId="0" borderId="0" xfId="0" applyNumberFormat="1" applyFont="1" applyAlignment="1" applyProtection="1">
      <alignment vertical="center"/>
    </xf>
    <xf numFmtId="167" fontId="25" fillId="0" borderId="0" xfId="0" applyNumberFormat="1" applyFont="1" applyAlignment="1" applyProtection="1">
      <alignment horizontal="left" vertical="center"/>
    </xf>
    <xf numFmtId="167" fontId="5" fillId="32" borderId="0" xfId="0" applyNumberFormat="1" applyFont="1" applyFill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 wrapText="1"/>
    </xf>
    <xf numFmtId="167" fontId="5" fillId="0" borderId="0" xfId="0" applyNumberFormat="1" applyFont="1" applyBorder="1" applyAlignment="1" applyProtection="1">
      <alignment vertical="center" wrapText="1"/>
    </xf>
    <xf numFmtId="170" fontId="4" fillId="0" borderId="0" xfId="0" applyNumberFormat="1" applyFont="1" applyBorder="1" applyAlignment="1" applyProtection="1">
      <alignment horizontal="center" vertical="center" wrapText="1"/>
    </xf>
    <xf numFmtId="167" fontId="4" fillId="32" borderId="0" xfId="0" applyNumberFormat="1" applyFont="1" applyFill="1" applyBorder="1" applyAlignment="1" applyProtection="1">
      <alignment horizontal="center" vertical="center" wrapText="1"/>
    </xf>
    <xf numFmtId="167" fontId="4" fillId="0" borderId="49" xfId="0" applyNumberFormat="1" applyFont="1" applyBorder="1" applyAlignment="1" applyProtection="1">
      <alignment horizontal="center" vertical="center" wrapText="1"/>
    </xf>
    <xf numFmtId="167" fontId="5" fillId="0" borderId="17" xfId="0" applyNumberFormat="1" applyFont="1" applyBorder="1" applyAlignment="1" applyProtection="1">
      <alignment vertical="center" wrapText="1"/>
    </xf>
    <xf numFmtId="170" fontId="4" fillId="0" borderId="17" xfId="0" applyNumberFormat="1" applyFont="1" applyBorder="1" applyAlignment="1" applyProtection="1">
      <alignment horizontal="center" vertical="center" wrapText="1"/>
    </xf>
    <xf numFmtId="167" fontId="4" fillId="0" borderId="17" xfId="0" applyNumberFormat="1" applyFont="1" applyBorder="1" applyAlignment="1" applyProtection="1">
      <alignment horizontal="center" vertical="center" wrapText="1"/>
    </xf>
    <xf numFmtId="167" fontId="4" fillId="32" borderId="17" xfId="0" applyNumberFormat="1" applyFont="1" applyFill="1" applyBorder="1" applyAlignment="1" applyProtection="1">
      <alignment horizontal="center" vertical="center" wrapText="1"/>
    </xf>
    <xf numFmtId="167" fontId="4" fillId="0" borderId="30" xfId="0" applyNumberFormat="1" applyFont="1" applyBorder="1" applyAlignment="1" applyProtection="1">
      <alignment horizontal="center" vertical="center" wrapText="1"/>
    </xf>
    <xf numFmtId="167" fontId="4" fillId="32" borderId="0" xfId="0" applyNumberFormat="1" applyFont="1" applyFill="1" applyBorder="1" applyAlignment="1" applyProtection="1">
      <alignment horizontal="center" vertical="center"/>
    </xf>
    <xf numFmtId="167" fontId="27" fillId="33" borderId="27" xfId="0" applyNumberFormat="1" applyFont="1" applyFill="1" applyBorder="1" applyAlignment="1" applyProtection="1">
      <alignment vertical="center"/>
    </xf>
    <xf numFmtId="167" fontId="28" fillId="33" borderId="28" xfId="0" applyNumberFormat="1" applyFont="1" applyFill="1" applyBorder="1" applyAlignment="1" applyProtection="1">
      <alignment vertical="center"/>
    </xf>
    <xf numFmtId="167" fontId="27" fillId="33" borderId="28" xfId="0" applyNumberFormat="1" applyFont="1" applyFill="1" applyBorder="1" applyAlignment="1" applyProtection="1">
      <alignment vertical="center"/>
    </xf>
    <xf numFmtId="167" fontId="27" fillId="33" borderId="17" xfId="0" applyNumberFormat="1" applyFont="1" applyFill="1" applyBorder="1" applyAlignment="1" applyProtection="1">
      <alignment vertical="center"/>
    </xf>
    <xf numFmtId="167" fontId="27" fillId="33" borderId="29" xfId="0" applyNumberFormat="1" applyFont="1" applyFill="1" applyBorder="1" applyAlignment="1" applyProtection="1">
      <alignment vertical="center"/>
    </xf>
    <xf numFmtId="167" fontId="4" fillId="32" borderId="17" xfId="0" applyNumberFormat="1" applyFont="1" applyFill="1" applyBorder="1" applyAlignment="1" applyProtection="1">
      <alignment vertical="center"/>
    </xf>
    <xf numFmtId="167" fontId="5" fillId="26" borderId="17" xfId="0" applyNumberFormat="1" applyFont="1" applyFill="1" applyBorder="1" applyAlignment="1" applyProtection="1">
      <alignment vertical="center"/>
    </xf>
    <xf numFmtId="167" fontId="4" fillId="27" borderId="17" xfId="0" applyNumberFormat="1" applyFont="1" applyFill="1" applyBorder="1" applyAlignment="1" applyProtection="1">
      <alignment vertical="center"/>
    </xf>
    <xf numFmtId="167" fontId="5" fillId="27" borderId="17" xfId="0" applyNumberFormat="1" applyFont="1" applyFill="1" applyBorder="1" applyAlignment="1" applyProtection="1">
      <alignment vertical="center"/>
    </xf>
    <xf numFmtId="167" fontId="5" fillId="26" borderId="0" xfId="0" applyNumberFormat="1" applyFont="1" applyFill="1" applyAlignment="1" applyProtection="1">
      <alignment vertical="center"/>
    </xf>
    <xf numFmtId="167" fontId="5" fillId="27" borderId="0" xfId="0" applyNumberFormat="1" applyFont="1" applyFill="1" applyAlignment="1" applyProtection="1">
      <alignment vertical="center"/>
    </xf>
    <xf numFmtId="167" fontId="5" fillId="0" borderId="50" xfId="0" applyNumberFormat="1" applyFont="1" applyBorder="1" applyAlignment="1" applyProtection="1">
      <alignment vertical="center"/>
    </xf>
    <xf numFmtId="167" fontId="5" fillId="25" borderId="41" xfId="0" applyNumberFormat="1" applyFont="1" applyFill="1" applyBorder="1" applyAlignment="1" applyProtection="1">
      <alignment vertical="center"/>
    </xf>
    <xf numFmtId="167" fontId="5" fillId="32" borderId="10" xfId="0" applyNumberFormat="1" applyFont="1" applyFill="1" applyBorder="1" applyAlignment="1" applyProtection="1">
      <alignment vertical="center"/>
    </xf>
    <xf numFmtId="167" fontId="5" fillId="26" borderId="10" xfId="0" applyNumberFormat="1" applyFont="1" applyFill="1" applyBorder="1" applyAlignment="1" applyProtection="1">
      <alignment vertical="center"/>
    </xf>
    <xf numFmtId="167" fontId="5" fillId="27" borderId="10" xfId="0" applyNumberFormat="1" applyFont="1" applyFill="1" applyBorder="1" applyAlignment="1" applyProtection="1">
      <alignment vertical="center"/>
    </xf>
    <xf numFmtId="167" fontId="5" fillId="0" borderId="33" xfId="0" applyNumberFormat="1" applyFont="1" applyBorder="1" applyAlignment="1" applyProtection="1">
      <alignment vertical="center"/>
    </xf>
    <xf numFmtId="167" fontId="5" fillId="26" borderId="41" xfId="0" applyNumberFormat="1" applyFont="1" applyFill="1" applyBorder="1" applyAlignment="1" applyProtection="1">
      <alignment vertical="center"/>
    </xf>
    <xf numFmtId="167" fontId="5" fillId="27" borderId="41" xfId="0" applyNumberFormat="1" applyFont="1" applyFill="1" applyBorder="1" applyAlignment="1" applyProtection="1">
      <alignment vertical="center"/>
    </xf>
    <xf numFmtId="167" fontId="5" fillId="0" borderId="31" xfId="0" applyNumberFormat="1" applyFont="1" applyBorder="1" applyAlignment="1" applyProtection="1">
      <alignment vertical="center"/>
    </xf>
    <xf numFmtId="167" fontId="5" fillId="25" borderId="13" xfId="0" applyNumberFormat="1" applyFont="1" applyFill="1" applyBorder="1" applyAlignment="1" applyProtection="1">
      <alignment vertical="center"/>
    </xf>
    <xf numFmtId="167" fontId="5" fillId="32" borderId="13" xfId="0" applyNumberFormat="1" applyFont="1" applyFill="1" applyBorder="1" applyAlignment="1" applyProtection="1">
      <alignment vertical="center"/>
    </xf>
    <xf numFmtId="167" fontId="5" fillId="26" borderId="13" xfId="0" applyNumberFormat="1" applyFont="1" applyFill="1" applyBorder="1" applyAlignment="1" applyProtection="1">
      <alignment vertical="center"/>
    </xf>
    <xf numFmtId="167" fontId="5" fillId="27" borderId="13" xfId="0" applyNumberFormat="1" applyFont="1" applyFill="1" applyBorder="1" applyAlignment="1" applyProtection="1">
      <alignment vertical="center"/>
    </xf>
    <xf numFmtId="167" fontId="5" fillId="25" borderId="36" xfId="0" applyNumberFormat="1" applyFont="1" applyFill="1" applyBorder="1" applyAlignment="1" applyProtection="1">
      <alignment vertical="center"/>
    </xf>
    <xf numFmtId="167" fontId="4" fillId="25" borderId="30" xfId="0" applyNumberFormat="1" applyFont="1" applyFill="1" applyBorder="1" applyAlignment="1" applyProtection="1">
      <alignment vertical="center"/>
    </xf>
    <xf numFmtId="167" fontId="4" fillId="32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1" fontId="5" fillId="0" borderId="0" xfId="66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" fontId="4" fillId="0" borderId="49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</xf>
    <xf numFmtId="1" fontId="5" fillId="0" borderId="17" xfId="66" applyNumberFormat="1" applyFont="1" applyBorder="1" applyAlignment="1" applyProtection="1">
      <alignment vertical="center"/>
    </xf>
    <xf numFmtId="1" fontId="5" fillId="0" borderId="17" xfId="0" applyNumberFormat="1" applyFont="1" applyBorder="1" applyAlignment="1" applyProtection="1">
      <alignment vertical="center"/>
    </xf>
    <xf numFmtId="1" fontId="4" fillId="0" borderId="30" xfId="0" applyNumberFormat="1" applyFont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vertical="center"/>
    </xf>
    <xf numFmtId="167" fontId="27" fillId="34" borderId="51" xfId="0" applyNumberFormat="1" applyFont="1" applyFill="1" applyBorder="1" applyAlignment="1" applyProtection="1">
      <alignment vertical="center"/>
    </xf>
    <xf numFmtId="167" fontId="28" fillId="34" borderId="52" xfId="0" applyNumberFormat="1" applyFont="1" applyFill="1" applyBorder="1" applyAlignment="1" applyProtection="1">
      <alignment vertical="center"/>
    </xf>
    <xf numFmtId="167" fontId="27" fillId="34" borderId="52" xfId="0" applyNumberFormat="1" applyFont="1" applyFill="1" applyBorder="1" applyAlignment="1" applyProtection="1">
      <alignment vertical="center"/>
    </xf>
    <xf numFmtId="10" fontId="27" fillId="34" borderId="52" xfId="66" applyNumberFormat="1" applyFont="1" applyFill="1" applyBorder="1" applyAlignment="1" applyProtection="1">
      <alignment vertical="center"/>
    </xf>
    <xf numFmtId="167" fontId="27" fillId="34" borderId="53" xfId="0" applyNumberFormat="1" applyFont="1" applyFill="1" applyBorder="1" applyAlignment="1" applyProtection="1">
      <alignment vertical="center"/>
    </xf>
    <xf numFmtId="10" fontId="4" fillId="25" borderId="17" xfId="66" applyNumberFormat="1" applyFont="1" applyFill="1" applyBorder="1" applyAlignment="1" applyProtection="1">
      <alignment vertical="center"/>
    </xf>
    <xf numFmtId="10" fontId="4" fillId="0" borderId="17" xfId="66" applyNumberFormat="1" applyFont="1" applyBorder="1" applyAlignment="1" applyProtection="1">
      <alignment vertical="center"/>
    </xf>
    <xf numFmtId="10" fontId="5" fillId="25" borderId="0" xfId="66" applyNumberFormat="1" applyFont="1" applyFill="1" applyAlignment="1" applyProtection="1">
      <alignment vertical="center"/>
    </xf>
    <xf numFmtId="10" fontId="5" fillId="25" borderId="10" xfId="66" applyNumberFormat="1" applyFont="1" applyFill="1" applyBorder="1" applyAlignment="1" applyProtection="1">
      <alignment vertical="center"/>
    </xf>
    <xf numFmtId="10" fontId="5" fillId="0" borderId="10" xfId="66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167" fontId="5" fillId="27" borderId="42" xfId="0" applyNumberFormat="1" applyFont="1" applyFill="1" applyBorder="1" applyAlignment="1" applyProtection="1">
      <alignment vertical="center"/>
    </xf>
    <xf numFmtId="167" fontId="5" fillId="0" borderId="54" xfId="0" applyNumberFormat="1" applyFont="1" applyBorder="1" applyAlignment="1" applyProtection="1">
      <alignment vertical="center"/>
    </xf>
    <xf numFmtId="167" fontId="4" fillId="26" borderId="17" xfId="0" applyNumberFormat="1" applyFont="1" applyFill="1" applyBorder="1" applyAlignment="1" applyProtection="1">
      <alignment horizontal="right" vertical="center"/>
    </xf>
    <xf numFmtId="167" fontId="4" fillId="27" borderId="30" xfId="0" applyNumberFormat="1" applyFont="1" applyFill="1" applyBorder="1" applyAlignment="1" applyProtection="1">
      <alignment horizontal="right" vertical="center"/>
    </xf>
    <xf numFmtId="167" fontId="4" fillId="0" borderId="55" xfId="0" applyNumberFormat="1" applyFont="1" applyFill="1" applyBorder="1" applyAlignment="1" applyProtection="1">
      <alignment horizontal="center" vertical="center"/>
    </xf>
    <xf numFmtId="167" fontId="4" fillId="0" borderId="56" xfId="0" applyNumberFormat="1" applyFont="1" applyFill="1" applyBorder="1" applyAlignment="1" applyProtection="1">
      <alignment horizontal="center" vertical="center"/>
    </xf>
    <xf numFmtId="10" fontId="5" fillId="0" borderId="0" xfId="66" applyNumberFormat="1" applyFont="1" applyFill="1" applyBorder="1" applyAlignment="1" applyProtection="1">
      <alignment vertical="center"/>
    </xf>
    <xf numFmtId="10" fontId="5" fillId="0" borderId="0" xfId="66" applyNumberFormat="1" applyFont="1" applyFill="1" applyAlignment="1" applyProtection="1">
      <alignment vertical="center"/>
    </xf>
    <xf numFmtId="10" fontId="5" fillId="0" borderId="40" xfId="66" applyNumberFormat="1" applyFont="1" applyBorder="1" applyAlignment="1" applyProtection="1">
      <alignment horizontal="left" vertical="center"/>
    </xf>
    <xf numFmtId="10" fontId="4" fillId="0" borderId="40" xfId="66" applyNumberFormat="1" applyFont="1" applyBorder="1" applyAlignment="1" applyProtection="1">
      <alignment horizontal="left" vertical="center"/>
    </xf>
    <xf numFmtId="167" fontId="5" fillId="0" borderId="54" xfId="0" applyNumberFormat="1" applyFont="1" applyBorder="1" applyAlignment="1" applyProtection="1">
      <alignment horizontal="left" vertical="center"/>
    </xf>
    <xf numFmtId="167" fontId="4" fillId="0" borderId="54" xfId="0" applyNumberFormat="1" applyFont="1" applyBorder="1" applyAlignment="1" applyProtection="1">
      <alignment horizontal="left" vertical="center"/>
    </xf>
    <xf numFmtId="167" fontId="5" fillId="0" borderId="0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40" fontId="4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vertical="center"/>
    </xf>
    <xf numFmtId="40" fontId="5" fillId="0" borderId="0" xfId="0" applyNumberFormat="1" applyFont="1" applyFill="1" applyAlignment="1" applyProtection="1">
      <alignment vertical="center"/>
    </xf>
    <xf numFmtId="40" fontId="5" fillId="0" borderId="57" xfId="0" applyNumberFormat="1" applyFont="1" applyFill="1" applyBorder="1" applyAlignment="1" applyProtection="1">
      <alignment vertical="center"/>
    </xf>
    <xf numFmtId="40" fontId="5" fillId="0" borderId="58" xfId="0" applyNumberFormat="1" applyFont="1" applyFill="1" applyBorder="1" applyAlignment="1" applyProtection="1">
      <alignment vertical="center"/>
    </xf>
    <xf numFmtId="40" fontId="5" fillId="0" borderId="0" xfId="0" applyNumberFormat="1" applyFont="1" applyFill="1" applyBorder="1" applyAlignment="1" applyProtection="1">
      <alignment vertical="center"/>
    </xf>
    <xf numFmtId="40" fontId="36" fillId="0" borderId="0" xfId="0" applyNumberFormat="1" applyFont="1" applyFill="1" applyBorder="1" applyAlignment="1" applyProtection="1">
      <alignment vertical="center"/>
    </xf>
    <xf numFmtId="0" fontId="27" fillId="24" borderId="13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67" fontId="27" fillId="24" borderId="13" xfId="0" applyNumberFormat="1" applyFont="1" applyFill="1" applyBorder="1" applyAlignment="1" applyProtection="1">
      <alignment vertical="center"/>
    </xf>
    <xf numFmtId="167" fontId="27" fillId="0" borderId="0" xfId="0" applyNumberFormat="1" applyFont="1" applyFill="1" applyBorder="1" applyAlignment="1" applyProtection="1">
      <alignment vertical="center"/>
    </xf>
    <xf numFmtId="167" fontId="37" fillId="0" borderId="0" xfId="0" applyNumberFormat="1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vertical="center"/>
    </xf>
    <xf numFmtId="167" fontId="5" fillId="0" borderId="57" xfId="0" applyNumberFormat="1" applyFont="1" applyFill="1" applyBorder="1" applyAlignment="1" applyProtection="1">
      <alignment vertical="center"/>
    </xf>
    <xf numFmtId="167" fontId="5" fillId="0" borderId="58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Alignment="1" applyProtection="1">
      <alignment vertical="center"/>
    </xf>
    <xf numFmtId="167" fontId="3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indent="2"/>
    </xf>
    <xf numFmtId="167" fontId="6" fillId="0" borderId="15" xfId="0" applyNumberFormat="1" applyFont="1" applyBorder="1" applyAlignment="1" applyProtection="1">
      <alignment vertical="center"/>
    </xf>
    <xf numFmtId="167" fontId="6" fillId="0" borderId="59" xfId="0" applyNumberFormat="1" applyFont="1" applyFill="1" applyBorder="1" applyAlignment="1" applyProtection="1">
      <alignment vertical="center"/>
    </xf>
    <xf numFmtId="167" fontId="38" fillId="0" borderId="59" xfId="0" applyNumberFormat="1" applyFont="1" applyFill="1" applyBorder="1" applyAlignment="1" applyProtection="1">
      <alignment vertical="center"/>
    </xf>
    <xf numFmtId="167" fontId="36" fillId="0" borderId="57" xfId="0" applyNumberFormat="1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67" fontId="4" fillId="0" borderId="12" xfId="0" applyNumberFormat="1" applyFont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167" fontId="4" fillId="0" borderId="57" xfId="0" applyNumberFormat="1" applyFont="1" applyFill="1" applyBorder="1" applyAlignment="1" applyProtection="1">
      <alignment vertical="center"/>
    </xf>
    <xf numFmtId="167" fontId="4" fillId="0" borderId="58" xfId="0" applyNumberFormat="1" applyFont="1" applyFill="1" applyBorder="1" applyAlignment="1" applyProtection="1">
      <alignment vertical="center"/>
    </xf>
    <xf numFmtId="167" fontId="37" fillId="0" borderId="57" xfId="0" applyNumberFormat="1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36" fillId="0" borderId="11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vertical="center"/>
    </xf>
    <xf numFmtId="0" fontId="37" fillId="0" borderId="48" xfId="0" applyFont="1" applyFill="1" applyBorder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167" fontId="30" fillId="0" borderId="0" xfId="0" applyNumberFormat="1" applyFont="1" applyAlignment="1" applyProtection="1">
      <alignment vertical="center"/>
    </xf>
    <xf numFmtId="173" fontId="39" fillId="0" borderId="0" xfId="0" applyNumberFormat="1" applyFont="1" applyAlignment="1" applyProtection="1">
      <alignment vertical="center"/>
    </xf>
    <xf numFmtId="173" fontId="7" fillId="0" borderId="0" xfId="0" applyNumberFormat="1" applyFont="1" applyAlignment="1" applyProtection="1">
      <alignment vertical="center"/>
    </xf>
    <xf numFmtId="173" fontId="7" fillId="0" borderId="0" xfId="0" applyNumberFormat="1" applyFont="1" applyFill="1" applyBorder="1" applyAlignment="1" applyProtection="1">
      <alignment vertical="center"/>
    </xf>
    <xf numFmtId="0" fontId="32" fillId="0" borderId="17" xfId="0" applyFont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/>
    </xf>
    <xf numFmtId="167" fontId="6" fillId="0" borderId="0" xfId="0" applyNumberFormat="1" applyFont="1" applyBorder="1" applyAlignment="1" applyProtection="1">
      <alignment vertical="center"/>
    </xf>
    <xf numFmtId="167" fontId="4" fillId="0" borderId="0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27" fillId="24" borderId="0" xfId="0" applyFont="1" applyFill="1" applyBorder="1" applyAlignment="1" applyProtection="1">
      <alignment vertical="center"/>
    </xf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71" fontId="29" fillId="24" borderId="0" xfId="0" applyNumberFormat="1" applyFont="1" applyFill="1" applyBorder="1" applyAlignment="1" applyProtection="1">
      <alignment vertical="center"/>
    </xf>
    <xf numFmtId="10" fontId="29" fillId="24" borderId="0" xfId="66" applyNumberFormat="1" applyFont="1" applyFill="1" applyBorder="1" applyAlignment="1" applyProtection="1">
      <alignment horizontal="right" vertical="center"/>
    </xf>
    <xf numFmtId="10" fontId="29" fillId="0" borderId="0" xfId="66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171" fontId="6" fillId="0" borderId="0" xfId="0" applyNumberFormat="1" applyFont="1" applyBorder="1" applyAlignment="1" applyProtection="1">
      <alignment vertical="center"/>
    </xf>
    <xf numFmtId="10" fontId="6" fillId="0" borderId="0" xfId="66" applyNumberFormat="1" applyFont="1" applyBorder="1" applyAlignment="1" applyProtection="1">
      <alignment horizontal="right" vertical="center"/>
    </xf>
    <xf numFmtId="10" fontId="6" fillId="0" borderId="0" xfId="66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3" fillId="24" borderId="13" xfId="0" applyFont="1" applyFill="1" applyBorder="1" applyAlignment="1" applyProtection="1">
      <alignment vertical="center"/>
    </xf>
    <xf numFmtId="0" fontId="28" fillId="24" borderId="13" xfId="0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vertical="center"/>
    </xf>
    <xf numFmtId="171" fontId="29" fillId="24" borderId="13" xfId="0" applyNumberFormat="1" applyFont="1" applyFill="1" applyBorder="1" applyAlignment="1" applyProtection="1">
      <alignment vertical="center"/>
    </xf>
    <xf numFmtId="10" fontId="29" fillId="24" borderId="13" xfId="66" applyNumberFormat="1" applyFont="1" applyFill="1" applyBorder="1" applyAlignment="1" applyProtection="1">
      <alignment horizontal="right" vertical="center"/>
    </xf>
    <xf numFmtId="171" fontId="2" fillId="0" borderId="0" xfId="0" applyNumberFormat="1" applyFont="1" applyAlignment="1" applyProtection="1">
      <alignment vertical="center"/>
    </xf>
    <xf numFmtId="171" fontId="26" fillId="0" borderId="0" xfId="0" applyNumberFormat="1" applyFont="1" applyBorder="1" applyAlignment="1" applyProtection="1">
      <alignment vertical="center"/>
    </xf>
    <xf numFmtId="10" fontId="26" fillId="0" borderId="0" xfId="66" applyNumberFormat="1" applyFont="1" applyBorder="1" applyAlignment="1" applyProtection="1">
      <alignment horizontal="right" vertical="center"/>
    </xf>
    <xf numFmtId="10" fontId="26" fillId="0" borderId="0" xfId="66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171" fontId="2" fillId="0" borderId="0" xfId="0" applyNumberFormat="1" applyFont="1" applyBorder="1" applyAlignment="1" applyProtection="1">
      <alignment vertical="center"/>
    </xf>
    <xf numFmtId="10" fontId="26" fillId="0" borderId="13" xfId="66" applyNumberFormat="1" applyFont="1" applyFill="1" applyBorder="1" applyAlignment="1" applyProtection="1">
      <alignment horizontal="right" vertical="center"/>
    </xf>
    <xf numFmtId="167" fontId="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3" fillId="0" borderId="0" xfId="0" applyFont="1"/>
    <xf numFmtId="0" fontId="4" fillId="0" borderId="0" xfId="0" applyFont="1" applyAlignment="1">
      <alignment horizontal="right"/>
    </xf>
    <xf numFmtId="10" fontId="5" fillId="0" borderId="40" xfId="66" applyNumberFormat="1" applyFont="1" applyBorder="1" applyAlignment="1" applyProtection="1">
      <alignment horizontal="center" vertical="center"/>
    </xf>
    <xf numFmtId="167" fontId="4" fillId="0" borderId="0" xfId="0" applyNumberFormat="1" applyFont="1" applyFill="1" applyAlignment="1" applyProtection="1">
      <alignment horizontal="center" vertical="center"/>
    </xf>
    <xf numFmtId="167" fontId="4" fillId="25" borderId="60" xfId="0" applyNumberFormat="1" applyFont="1" applyFill="1" applyBorder="1" applyAlignment="1" applyProtection="1">
      <alignment horizontal="center" vertical="center"/>
    </xf>
    <xf numFmtId="167" fontId="4" fillId="25" borderId="61" xfId="0" applyNumberFormat="1" applyFont="1" applyFill="1" applyBorder="1" applyAlignment="1" applyProtection="1">
      <alignment horizontal="center" vertical="center"/>
    </xf>
    <xf numFmtId="167" fontId="4" fillId="26" borderId="60" xfId="0" applyNumberFormat="1" applyFont="1" applyFill="1" applyBorder="1" applyAlignment="1" applyProtection="1">
      <alignment horizontal="center" vertical="center"/>
    </xf>
    <xf numFmtId="167" fontId="4" fillId="26" borderId="6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67" fontId="5" fillId="0" borderId="62" xfId="0" applyNumberFormat="1" applyFont="1" applyBorder="1" applyAlignment="1" applyProtection="1">
      <alignment vertical="center"/>
    </xf>
    <xf numFmtId="167" fontId="4" fillId="27" borderId="61" xfId="0" applyNumberFormat="1" applyFont="1" applyFill="1" applyBorder="1" applyAlignment="1" applyProtection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2" fillId="0" borderId="0" xfId="0" applyFont="1"/>
    <xf numFmtId="0" fontId="6" fillId="0" borderId="0" xfId="0" applyFont="1"/>
    <xf numFmtId="4" fontId="32" fillId="0" borderId="0" xfId="0" applyNumberFormat="1" applyFont="1" applyFill="1"/>
    <xf numFmtId="0" fontId="5" fillId="0" borderId="0" xfId="0" applyFont="1" applyAlignment="1">
      <alignment horizontal="right"/>
    </xf>
    <xf numFmtId="0" fontId="32" fillId="0" borderId="0" xfId="0" applyFont="1" applyAlignment="1">
      <alignment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2" fillId="0" borderId="0" xfId="0" applyFont="1" applyAlignment="1">
      <alignment horizontal="left" wrapText="1"/>
    </xf>
    <xf numFmtId="0" fontId="44" fillId="0" borderId="0" xfId="0" applyFont="1"/>
    <xf numFmtId="0" fontId="26" fillId="0" borderId="0" xfId="0" applyFont="1"/>
    <xf numFmtId="10" fontId="4" fillId="0" borderId="0" xfId="66" applyNumberFormat="1" applyFont="1" applyAlignment="1">
      <alignment horizontal="right"/>
    </xf>
    <xf numFmtId="10" fontId="5" fillId="0" borderId="0" xfId="66" applyNumberFormat="1" applyFont="1" applyFill="1" applyAlignment="1">
      <alignment horizontal="center"/>
    </xf>
    <xf numFmtId="0" fontId="32" fillId="0" borderId="0" xfId="0" applyFont="1" applyAlignment="1">
      <alignment horizontal="left" indent="2"/>
    </xf>
    <xf numFmtId="10" fontId="5" fillId="0" borderId="0" xfId="66" applyNumberFormat="1" applyFont="1" applyAlignment="1">
      <alignment horizontal="right"/>
    </xf>
    <xf numFmtId="10" fontId="5" fillId="0" borderId="0" xfId="66" applyNumberFormat="1" applyFont="1"/>
    <xf numFmtId="10" fontId="28" fillId="0" borderId="0" xfId="66" applyNumberFormat="1" applyFont="1"/>
    <xf numFmtId="10" fontId="5" fillId="0" borderId="0" xfId="0" applyNumberFormat="1" applyFont="1" applyAlignment="1" applyProtection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</xf>
    <xf numFmtId="10" fontId="5" fillId="0" borderId="0" xfId="0" applyNumberFormat="1" applyFont="1" applyAlignment="1" applyProtection="1">
      <alignment vertical="center"/>
    </xf>
    <xf numFmtId="170" fontId="45" fillId="35" borderId="6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Alignment="1">
      <alignment vertical="center"/>
    </xf>
    <xf numFmtId="167" fontId="27" fillId="24" borderId="63" xfId="0" applyNumberFormat="1" applyFont="1" applyFill="1" applyBorder="1" applyAlignment="1" applyProtection="1">
      <alignment vertical="center"/>
    </xf>
    <xf numFmtId="167" fontId="5" fillId="25" borderId="32" xfId="0" applyNumberFormat="1" applyFont="1" applyFill="1" applyBorder="1" applyAlignment="1" applyProtection="1">
      <alignment vertical="center"/>
    </xf>
    <xf numFmtId="167" fontId="5" fillId="25" borderId="10" xfId="0" applyNumberFormat="1" applyFont="1" applyFill="1" applyBorder="1" applyAlignment="1" applyProtection="1">
      <alignment vertical="center"/>
    </xf>
    <xf numFmtId="167" fontId="5" fillId="25" borderId="25" xfId="0" applyNumberFormat="1" applyFont="1" applyFill="1" applyBorder="1" applyAlignment="1" applyProtection="1">
      <alignment vertical="center"/>
    </xf>
    <xf numFmtId="167" fontId="5" fillId="25" borderId="16" xfId="0" applyNumberFormat="1" applyFont="1" applyFill="1" applyBorder="1" applyAlignment="1" applyProtection="1">
      <alignment vertical="center"/>
    </xf>
    <xf numFmtId="171" fontId="5" fillId="0" borderId="0" xfId="0" applyNumberFormat="1" applyFont="1" applyAlignment="1">
      <alignment vertical="center"/>
    </xf>
    <xf numFmtId="167" fontId="5" fillId="32" borderId="18" xfId="66" applyNumberFormat="1" applyFont="1" applyFill="1" applyBorder="1" applyAlignment="1" applyProtection="1">
      <alignment vertical="center"/>
    </xf>
    <xf numFmtId="4" fontId="0" fillId="0" borderId="0" xfId="0" applyNumberFormat="1"/>
    <xf numFmtId="167" fontId="5" fillId="25" borderId="18" xfId="0" applyNumberFormat="1" applyFont="1" applyFill="1" applyBorder="1" applyAlignment="1" applyProtection="1">
      <alignment vertical="center"/>
    </xf>
    <xf numFmtId="167" fontId="5" fillId="26" borderId="18" xfId="0" applyNumberFormat="1" applyFont="1" applyFill="1" applyBorder="1" applyAlignment="1" applyProtection="1">
      <alignment vertical="center"/>
    </xf>
    <xf numFmtId="167" fontId="5" fillId="27" borderId="18" xfId="0" applyNumberFormat="1" applyFont="1" applyFill="1" applyBorder="1" applyAlignment="1" applyProtection="1">
      <alignment vertical="center"/>
    </xf>
    <xf numFmtId="167" fontId="5" fillId="26" borderId="45" xfId="0" applyNumberFormat="1" applyFont="1" applyFill="1" applyBorder="1" applyAlignment="1" applyProtection="1">
      <alignment vertical="center"/>
    </xf>
    <xf numFmtId="167" fontId="5" fillId="27" borderId="45" xfId="0" applyNumberFormat="1" applyFont="1" applyFill="1" applyBorder="1" applyAlignment="1" applyProtection="1">
      <alignment vertical="center"/>
    </xf>
    <xf numFmtId="167" fontId="5" fillId="0" borderId="13" xfId="0" applyNumberFormat="1" applyFont="1" applyBorder="1" applyAlignment="1" applyProtection="1">
      <alignment vertical="center"/>
    </xf>
    <xf numFmtId="167" fontId="5" fillId="0" borderId="16" xfId="0" applyNumberFormat="1" applyFont="1" applyBorder="1" applyAlignment="1" applyProtection="1">
      <alignment vertical="center"/>
    </xf>
    <xf numFmtId="167" fontId="5" fillId="25" borderId="18" xfId="66" applyNumberFormat="1" applyFont="1" applyFill="1" applyBorder="1" applyAlignment="1" applyProtection="1">
      <alignment vertical="center"/>
    </xf>
    <xf numFmtId="167" fontId="5" fillId="0" borderId="13" xfId="66" applyNumberFormat="1" applyFont="1" applyBorder="1" applyAlignment="1" applyProtection="1">
      <alignment vertical="center"/>
    </xf>
    <xf numFmtId="167" fontId="5" fillId="26" borderId="18" xfId="66" applyNumberFormat="1" applyFont="1" applyFill="1" applyBorder="1" applyAlignment="1" applyProtection="1">
      <alignment vertical="center"/>
    </xf>
    <xf numFmtId="167" fontId="5" fillId="27" borderId="18" xfId="66" applyNumberFormat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167" fontId="4" fillId="0" borderId="0" xfId="0" applyNumberFormat="1" applyFont="1" applyAlignment="1" applyProtection="1">
      <alignment horizontal="left" vertical="center"/>
    </xf>
    <xf numFmtId="167" fontId="46" fillId="35" borderId="18" xfId="66" applyNumberFormat="1" applyFont="1" applyFill="1" applyBorder="1" applyAlignment="1" applyProtection="1">
      <alignment vertical="center"/>
    </xf>
    <xf numFmtId="167" fontId="5" fillId="0" borderId="64" xfId="66" applyNumberFormat="1" applyFont="1" applyFill="1" applyBorder="1" applyAlignment="1" applyProtection="1">
      <alignment vertical="center"/>
    </xf>
    <xf numFmtId="167" fontId="4" fillId="0" borderId="0" xfId="66" applyNumberFormat="1" applyFont="1" applyFill="1" applyBorder="1" applyAlignment="1" applyProtection="1">
      <alignment vertical="center"/>
    </xf>
    <xf numFmtId="167" fontId="4" fillId="0" borderId="0" xfId="0" applyNumberFormat="1" applyFont="1" applyAlignment="1" applyProtection="1">
      <alignment horizontal="center" vertical="center"/>
    </xf>
    <xf numFmtId="167" fontId="4" fillId="0" borderId="0" xfId="0" applyNumberFormat="1" applyFont="1" applyAlignment="1" applyProtection="1">
      <alignment horizontal="center" vertical="center"/>
    </xf>
    <xf numFmtId="167" fontId="34" fillId="0" borderId="0" xfId="0" quotePrefix="1" applyNumberFormat="1" applyFont="1" applyAlignment="1" applyProtection="1">
      <alignment vertical="center"/>
    </xf>
    <xf numFmtId="174" fontId="6" fillId="0" borderId="0" xfId="63" applyNumberFormat="1" applyFont="1" applyAlignment="1">
      <alignment vertical="center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27" fillId="29" borderId="0" xfId="0" applyFont="1" applyFill="1" applyBorder="1" applyAlignment="1" applyProtection="1">
      <alignment horizontal="left" vertical="center"/>
    </xf>
    <xf numFmtId="167" fontId="27" fillId="33" borderId="0" xfId="0" applyNumberFormat="1" applyFont="1" applyFill="1" applyBorder="1" applyAlignment="1" applyProtection="1">
      <alignment horizontal="left" vertical="center"/>
    </xf>
    <xf numFmtId="167" fontId="27" fillId="34" borderId="0" xfId="0" applyNumberFormat="1" applyFont="1" applyFill="1" applyBorder="1" applyAlignment="1" applyProtection="1">
      <alignment horizontal="left" vertical="center"/>
    </xf>
    <xf numFmtId="0" fontId="27" fillId="28" borderId="0" xfId="0" applyFont="1" applyFill="1" applyBorder="1" applyAlignment="1" applyProtection="1">
      <alignment horizontal="left" vertical="center"/>
    </xf>
    <xf numFmtId="0" fontId="27" fillId="30" borderId="0" xfId="0" applyFont="1" applyFill="1" applyBorder="1" applyAlignment="1" applyProtection="1">
      <alignment horizontal="left" vertical="center"/>
    </xf>
    <xf numFmtId="167" fontId="4" fillId="0" borderId="0" xfId="0" applyNumberFormat="1" applyFont="1" applyAlignment="1" applyProtection="1">
      <alignment horizontal="center" vertical="center"/>
    </xf>
    <xf numFmtId="167" fontId="4" fillId="0" borderId="0" xfId="0" applyNumberFormat="1" applyFont="1" applyAlignment="1" applyProtection="1">
      <alignment horizontal="left" vertical="center" shrinkToFit="1"/>
    </xf>
    <xf numFmtId="1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 shrinkToFit="1"/>
    </xf>
    <xf numFmtId="170" fontId="4" fillId="0" borderId="17" xfId="0" applyNumberFormat="1" applyFont="1" applyBorder="1" applyAlignment="1" applyProtection="1">
      <alignment horizontal="center" vertical="center"/>
    </xf>
    <xf numFmtId="167" fontId="4" fillId="0" borderId="0" xfId="0" applyNumberFormat="1" applyFont="1" applyAlignment="1">
      <alignment horizontal="left" vertical="center" shrinkToFit="1"/>
    </xf>
    <xf numFmtId="170" fontId="4" fillId="0" borderId="17" xfId="0" applyNumberFormat="1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/>
    </xf>
    <xf numFmtId="0" fontId="32" fillId="0" borderId="71" xfId="0" applyFont="1" applyBorder="1" applyAlignment="1" applyProtection="1">
      <alignment horizontal="left" wrapText="1"/>
      <protection locked="0"/>
    </xf>
    <xf numFmtId="10" fontId="4" fillId="0" borderId="0" xfId="66" applyNumberFormat="1" applyFont="1" applyAlignment="1">
      <alignment horizontal="right" vertical="center" textRotation="90"/>
    </xf>
    <xf numFmtId="0" fontId="32" fillId="0" borderId="68" xfId="0" applyFont="1" applyBorder="1" applyAlignment="1" applyProtection="1">
      <alignment horizontal="left" wrapText="1"/>
      <protection locked="0"/>
    </xf>
    <xf numFmtId="0" fontId="32" fillId="0" borderId="69" xfId="0" applyFont="1" applyBorder="1" applyAlignment="1" applyProtection="1">
      <alignment horizontal="left" wrapText="1"/>
      <protection locked="0"/>
    </xf>
    <xf numFmtId="0" fontId="32" fillId="0" borderId="70" xfId="0" applyFont="1" applyBorder="1" applyAlignment="1" applyProtection="1">
      <alignment horizontal="left" wrapText="1"/>
      <protection locked="0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é" xfId="43"/>
    <cellStyle name="Buena" xfId="44"/>
    <cellStyle name="Càlcul" xfId="45"/>
    <cellStyle name="Cálculo" xfId="46"/>
    <cellStyle name="Cel·la de comprovació" xfId="47"/>
    <cellStyle name="Cel·la enllaçada" xfId="48"/>
    <cellStyle name="Celda de comprobación" xfId="49"/>
    <cellStyle name="Celda vinculada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 builtinId="20" customBuiltin="1"/>
    <cellStyle name="Incorrecte" xfId="58"/>
    <cellStyle name="Incorrecto" xfId="59"/>
    <cellStyle name="Moneda [0]_prestecs" xfId="60"/>
    <cellStyle name="Neutral" xfId="61" builtinId="28" customBuiltin="1"/>
    <cellStyle name="Normal" xfId="0" builtinId="0"/>
    <cellStyle name="Normal 2" xfId="62"/>
    <cellStyle name="Normal_prestecs" xfId="63"/>
    <cellStyle name="Nota" xfId="64"/>
    <cellStyle name="Notas" xfId="65"/>
    <cellStyle name="Porcentual" xfId="66" builtinId="5"/>
    <cellStyle name="Resultat" xfId="67"/>
    <cellStyle name="Salida" xfId="68"/>
    <cellStyle name="Text d'advertiment" xfId="69"/>
    <cellStyle name="Text explicatiu" xfId="70"/>
    <cellStyle name="Texto de advertencia" xfId="71"/>
    <cellStyle name="Texto explicativo" xfId="72"/>
    <cellStyle name="Títol" xfId="73"/>
    <cellStyle name="Títol 1" xfId="74"/>
    <cellStyle name="Títol 2" xfId="75"/>
    <cellStyle name="Títol 3" xfId="76"/>
    <cellStyle name="Título" xfId="77"/>
    <cellStyle name="Título 1" xfId="78"/>
    <cellStyle name="Título 2" xfId="79"/>
    <cellStyle name="Título 3" xfId="80"/>
    <cellStyle name="Total" xfId="8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28820960698691"/>
          <c:y val="0.20270337146118672"/>
          <c:w val="0.82314410480349365"/>
          <c:h val="0.5202719867503786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</c:trendline>
          <c:cat>
            <c:strRef>
              <c:f>'D Ratios'!$K$56:$N$56</c:f>
              <c:strCache>
                <c:ptCount val="4"/>
                <c:pt idx="0">
                  <c:v>Ventas</c:v>
                </c:pt>
                <c:pt idx="1">
                  <c:v>Activos</c:v>
                </c:pt>
                <c:pt idx="2">
                  <c:v>Deudas</c:v>
                </c:pt>
                <c:pt idx="3">
                  <c:v>Beneficios</c:v>
                </c:pt>
              </c:strCache>
            </c:strRef>
          </c:cat>
          <c:val>
            <c:numRef>
              <c:f>'D Ratios'!$K$57:$N$57</c:f>
              <c:numCache>
                <c:formatCode>0.00%</c:formatCode>
                <c:ptCount val="4"/>
                <c:pt idx="0">
                  <c:v>0.88505821225266623</c:v>
                </c:pt>
                <c:pt idx="1">
                  <c:v>0.30035514013778386</c:v>
                </c:pt>
                <c:pt idx="2">
                  <c:v>0.25117166018617104</c:v>
                </c:pt>
                <c:pt idx="3">
                  <c:v>-0.43658501257662125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 Ratios'!$K$56:$N$56</c:f>
              <c:strCache>
                <c:ptCount val="4"/>
                <c:pt idx="0">
                  <c:v>Ventas</c:v>
                </c:pt>
                <c:pt idx="1">
                  <c:v>Activos</c:v>
                </c:pt>
                <c:pt idx="2">
                  <c:v>Deudas</c:v>
                </c:pt>
                <c:pt idx="3">
                  <c:v>Beneficios</c:v>
                </c:pt>
              </c:strCache>
            </c:strRef>
          </c:cat>
          <c:val>
            <c:numRef>
              <c:f>'D Ratios'!$K$58:$N$58</c:f>
              <c:numCache>
                <c:formatCode>0.00%</c:formatCode>
                <c:ptCount val="4"/>
              </c:numCache>
            </c:numRef>
          </c:val>
        </c:ser>
        <c:axId val="65667840"/>
        <c:axId val="65669376"/>
      </c:barChart>
      <c:catAx>
        <c:axId val="65667840"/>
        <c:scaling>
          <c:orientation val="minMax"/>
        </c:scaling>
        <c:axPos val="b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ES"/>
          </a:p>
        </c:txPr>
        <c:crossAx val="65669376"/>
        <c:crosses val="autoZero"/>
        <c:auto val="1"/>
        <c:lblAlgn val="ctr"/>
        <c:lblOffset val="100"/>
        <c:tickLblSkip val="1"/>
        <c:tickMarkSkip val="1"/>
      </c:catAx>
      <c:valAx>
        <c:axId val="6566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ES"/>
          </a:p>
        </c:txPr>
        <c:crossAx val="65667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704715775460495"/>
          <c:y val="0.17590292656754278"/>
          <c:w val="0.82261163613445698"/>
          <c:h val="0.5683017627566758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</c:trendline>
          <c:cat>
            <c:strRef>
              <c:f>'D Ratios'!$K$56:$N$56</c:f>
              <c:strCache>
                <c:ptCount val="4"/>
                <c:pt idx="0">
                  <c:v>Ventas</c:v>
                </c:pt>
                <c:pt idx="1">
                  <c:v>Activos</c:v>
                </c:pt>
                <c:pt idx="2">
                  <c:v>Deudas</c:v>
                </c:pt>
                <c:pt idx="3">
                  <c:v>Beneficios</c:v>
                </c:pt>
              </c:strCache>
            </c:strRef>
          </c:cat>
          <c:val>
            <c:numRef>
              <c:f>'D Ratios'!$K$69:$N$69</c:f>
              <c:numCache>
                <c:formatCode>0.00%</c:formatCode>
                <c:ptCount val="4"/>
                <c:pt idx="0">
                  <c:v>-0.20483927835288004</c:v>
                </c:pt>
                <c:pt idx="1">
                  <c:v>-0.83095736319788371</c:v>
                </c:pt>
                <c:pt idx="2">
                  <c:v>-0.16457388146645868</c:v>
                </c:pt>
                <c:pt idx="3">
                  <c:v>2.2003705230172224</c:v>
                </c:pt>
              </c:numCache>
            </c:numRef>
          </c:val>
        </c:ser>
        <c:axId val="65730432"/>
        <c:axId val="65731968"/>
      </c:barChart>
      <c:catAx>
        <c:axId val="65730432"/>
        <c:scaling>
          <c:orientation val="minMax"/>
        </c:scaling>
        <c:axPos val="b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ES"/>
          </a:p>
        </c:txPr>
        <c:crossAx val="65731968"/>
        <c:crosses val="autoZero"/>
        <c:auto val="1"/>
        <c:lblAlgn val="ctr"/>
        <c:lblOffset val="100"/>
        <c:tickLblSkip val="1"/>
        <c:tickMarkSkip val="1"/>
      </c:catAx>
      <c:valAx>
        <c:axId val="65731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ES"/>
          </a:p>
        </c:txPr>
        <c:crossAx val="65730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59</xdr:row>
      <xdr:rowOff>57150</xdr:rowOff>
    </xdr:from>
    <xdr:to>
      <xdr:col>13</xdr:col>
      <xdr:colOff>847725</xdr:colOff>
      <xdr:row>67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69</xdr:row>
      <xdr:rowOff>38100</xdr:rowOff>
    </xdr:from>
    <xdr:to>
      <xdr:col>13</xdr:col>
      <xdr:colOff>857250</xdr:colOff>
      <xdr:row>77</xdr:row>
      <xdr:rowOff>76200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terials.cv.uoc.edu/cdocent/Arxiu/Empreses/Back%20Flip%20Vall&#232;s,%20SL/An&#225;lisis%20de%20Balances%20-%20El%20Corte%20Ingl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s%20An&#224;lisi%20Estats%20Financers\An&#225;lisis%20de%20Balances%20-%20El%20Corte%20Ingl&#233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CTIVO"/>
      <sheetName val="PN Y PASIVO"/>
      <sheetName val="PyG"/>
      <sheetName val="RATIOS"/>
      <sheetName val="PREDICCIONES"/>
      <sheetName val="GRAFICOS"/>
      <sheetName val="EFE"/>
      <sheetName val="Hoja trabajo 1"/>
      <sheetName val="Hoja trabajo 2"/>
      <sheetName val="Hoja trabajo 3"/>
      <sheetName val="Hoja trabajo 4"/>
      <sheetName val="BALANCE 2"/>
      <sheetName val="PyG 2"/>
      <sheetName val="Datos gráficos"/>
    </sheetNames>
    <sheetDataSet>
      <sheetData sheetId="0"/>
      <sheetData sheetId="1">
        <row r="65">
          <cell r="D65">
            <v>203323</v>
          </cell>
        </row>
      </sheetData>
      <sheetData sheetId="2"/>
      <sheetData sheetId="3">
        <row r="30">
          <cell r="B30">
            <v>-588878</v>
          </cell>
        </row>
        <row r="44">
          <cell r="B44">
            <v>-121561</v>
          </cell>
        </row>
        <row r="60">
          <cell r="B60">
            <v>747585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CTIVO"/>
      <sheetName val="PN Y PASIVO"/>
      <sheetName val="PyG"/>
      <sheetName val="RATIOS"/>
      <sheetName val="PREDICCIONES"/>
      <sheetName val="GRAFICOS"/>
      <sheetName val="EFE"/>
      <sheetName val="Hoja trabajo 1"/>
      <sheetName val="Hoja trabajo 2"/>
      <sheetName val="Hoja trabajo 3"/>
      <sheetName val="Hoja trabajo 4"/>
      <sheetName val="BALANCE 2"/>
      <sheetName val="PyG 2"/>
      <sheetName val="Datos gráficos"/>
    </sheetNames>
    <sheetDataSet>
      <sheetData sheetId="0"/>
      <sheetData sheetId="1">
        <row r="65">
          <cell r="D65">
            <v>203323</v>
          </cell>
        </row>
      </sheetData>
      <sheetData sheetId="2"/>
      <sheetData sheetId="3">
        <row r="30">
          <cell r="B30">
            <v>-588878</v>
          </cell>
        </row>
        <row r="44">
          <cell r="B44">
            <v>-121561</v>
          </cell>
        </row>
        <row r="60">
          <cell r="B60">
            <v>747585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enableFormatConditionsCalculation="0">
    <tabColor indexed="9"/>
    <pageSetUpPr fitToPage="1"/>
  </sheetPr>
  <dimension ref="A2:G29"/>
  <sheetViews>
    <sheetView showGridLines="0" zoomScale="115" zoomScaleNormal="115" workbookViewId="0">
      <selection activeCell="B19" sqref="B19:C19"/>
    </sheetView>
  </sheetViews>
  <sheetFormatPr baseColWidth="10" defaultColWidth="9.140625" defaultRowHeight="13.5"/>
  <cols>
    <col min="1" max="1" width="9.140625" style="127" customWidth="1"/>
    <col min="2" max="2" width="33.28515625" style="127" customWidth="1"/>
    <col min="3" max="3" width="11.28515625" style="127" customWidth="1"/>
    <col min="4" max="4" width="11.140625" style="127" customWidth="1"/>
    <col min="5" max="5" width="15.140625" style="127" customWidth="1"/>
    <col min="6" max="6" width="26.42578125" style="127" customWidth="1"/>
    <col min="7" max="16384" width="9.140625" style="127"/>
  </cols>
  <sheetData>
    <row r="2" spans="2:7">
      <c r="B2" s="209" t="s">
        <v>40</v>
      </c>
      <c r="C2" s="210"/>
      <c r="D2" s="210"/>
      <c r="E2" s="210"/>
      <c r="F2" s="210"/>
      <c r="G2" s="210"/>
    </row>
    <row r="4" spans="2:7">
      <c r="B4" s="156" t="s">
        <v>23</v>
      </c>
      <c r="C4" s="477" t="s">
        <v>41</v>
      </c>
      <c r="D4" s="478"/>
      <c r="E4" s="478"/>
      <c r="F4" s="478"/>
      <c r="G4" s="479"/>
    </row>
    <row r="6" spans="2:7">
      <c r="B6" s="156" t="s">
        <v>37</v>
      </c>
      <c r="C6" s="477" t="s">
        <v>38</v>
      </c>
      <c r="D6" s="478"/>
      <c r="E6" s="478"/>
      <c r="F6" s="478"/>
      <c r="G6" s="479"/>
    </row>
    <row r="8" spans="2:7">
      <c r="B8" s="156" t="s">
        <v>44</v>
      </c>
      <c r="C8" s="213">
        <v>2014</v>
      </c>
    </row>
    <row r="10" spans="2:7">
      <c r="B10" s="156" t="s">
        <v>45</v>
      </c>
      <c r="C10" s="214">
        <v>0.25</v>
      </c>
    </row>
    <row r="12" spans="2:7">
      <c r="C12" s="410" t="s">
        <v>31</v>
      </c>
      <c r="D12" s="410" t="s">
        <v>42</v>
      </c>
      <c r="E12" s="410" t="s">
        <v>43</v>
      </c>
    </row>
    <row r="13" spans="2:7">
      <c r="B13" s="156" t="s">
        <v>46</v>
      </c>
      <c r="C13" s="214">
        <v>0.21</v>
      </c>
      <c r="D13" s="214">
        <v>0.1</v>
      </c>
      <c r="E13" s="214">
        <v>0.04</v>
      </c>
    </row>
    <row r="17" spans="1:7" ht="14.25" thickBot="1">
      <c r="B17" s="150" t="s">
        <v>249</v>
      </c>
      <c r="C17" s="140"/>
      <c r="F17" s="150" t="s">
        <v>248</v>
      </c>
      <c r="G17" s="140"/>
    </row>
    <row r="19" spans="1:7">
      <c r="A19" s="133">
        <v>1</v>
      </c>
      <c r="B19" s="481" t="str">
        <f>+'1 Inversión'!B7</f>
        <v>INVERSIÓN</v>
      </c>
      <c r="C19" s="481"/>
      <c r="E19" s="211" t="s">
        <v>24</v>
      </c>
      <c r="F19" s="212" t="str">
        <f>+'A Tesorería'!A3</f>
        <v>PREVISIÓN DE TESORERÍA</v>
      </c>
      <c r="G19" s="212"/>
    </row>
    <row r="20" spans="1:7">
      <c r="A20" s="133"/>
      <c r="B20" s="133"/>
      <c r="C20" s="128"/>
      <c r="E20" s="211"/>
    </row>
    <row r="21" spans="1:7">
      <c r="A21" s="133">
        <v>2</v>
      </c>
      <c r="B21" s="482" t="str">
        <f>+'2 Financiación'!B7</f>
        <v>FINANCIACIÓN</v>
      </c>
      <c r="C21" s="482"/>
      <c r="E21" s="211" t="s">
        <v>25</v>
      </c>
      <c r="F21" s="212" t="str">
        <f>+'B Pérdidas y Ganancias'!B3</f>
        <v>CUENTA DE PÉRDIDAS Y GANANCIAS</v>
      </c>
      <c r="G21" s="212"/>
    </row>
    <row r="22" spans="1:7">
      <c r="A22" s="133"/>
      <c r="B22" s="133"/>
      <c r="C22" s="128"/>
      <c r="E22" s="211"/>
    </row>
    <row r="23" spans="1:7">
      <c r="A23" s="133">
        <v>3</v>
      </c>
      <c r="B23" s="483" t="str">
        <f>+'3 Previsión Ingresos-Gastos'!B3</f>
        <v>PREVISIÓN INGRESOS Y GASTOS</v>
      </c>
      <c r="C23" s="483"/>
      <c r="E23" s="211" t="s">
        <v>26</v>
      </c>
      <c r="F23" s="212" t="str">
        <f>+'C Balance'!B3</f>
        <v>BALANCE</v>
      </c>
      <c r="G23" s="212"/>
    </row>
    <row r="24" spans="1:7">
      <c r="A24" s="133"/>
      <c r="B24" s="133"/>
      <c r="C24" s="128"/>
    </row>
    <row r="25" spans="1:7">
      <c r="A25" s="133">
        <v>4</v>
      </c>
      <c r="B25" s="484" t="str">
        <f>+'4 Periodo Cobro-Pago'!B3</f>
        <v>PERIODO COBRO Y PAGO</v>
      </c>
      <c r="C25" s="484"/>
      <c r="E25" s="211" t="s">
        <v>33</v>
      </c>
      <c r="F25" s="212" t="s">
        <v>34</v>
      </c>
      <c r="G25" s="212"/>
    </row>
    <row r="26" spans="1:7">
      <c r="A26" s="133"/>
      <c r="B26" s="133"/>
      <c r="C26" s="128"/>
    </row>
    <row r="27" spans="1:7">
      <c r="A27" s="133">
        <v>5</v>
      </c>
      <c r="B27" s="480" t="str">
        <f>+'5 Distribución Resultado'!B3</f>
        <v>DISTRIBUCIÓN DE BENEFICIOS</v>
      </c>
      <c r="C27" s="480"/>
    </row>
    <row r="28" spans="1:7">
      <c r="B28" s="156"/>
    </row>
    <row r="29" spans="1:7">
      <c r="B29" s="156"/>
    </row>
  </sheetData>
  <mergeCells count="7">
    <mergeCell ref="C4:G4"/>
    <mergeCell ref="B27:C27"/>
    <mergeCell ref="B19:C19"/>
    <mergeCell ref="B21:C21"/>
    <mergeCell ref="B23:C23"/>
    <mergeCell ref="B25:C25"/>
    <mergeCell ref="C6:G6"/>
  </mergeCells>
  <phoneticPr fontId="2" type="noConversion"/>
  <pageMargins left="0.75" right="0.75" top="1" bottom="1" header="0" footer="0"/>
  <pageSetup paperSize="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23"/>
  </sheetPr>
  <dimension ref="A1:U110"/>
  <sheetViews>
    <sheetView showGridLines="0" zoomScale="85" workbookViewId="0">
      <pane ySplit="5" topLeftCell="A72" activePane="bottomLeft" state="frozen"/>
      <selection activeCell="B1" sqref="B1:C1"/>
      <selection pane="bottomLeft" activeCell="C3" sqref="C3"/>
    </sheetView>
  </sheetViews>
  <sheetFormatPr baseColWidth="10" defaultColWidth="9.140625" defaultRowHeight="13.5"/>
  <cols>
    <col min="1" max="1" width="8.7109375" style="19" customWidth="1"/>
    <col min="2" max="2" width="3" style="19" customWidth="1"/>
    <col min="3" max="3" width="43.5703125" style="19" customWidth="1"/>
    <col min="4" max="4" width="9.140625" style="19" customWidth="1"/>
    <col min="5" max="5" width="0.5703125" style="20" customWidth="1"/>
    <col min="6" max="6" width="12.140625" style="21" customWidth="1"/>
    <col min="7" max="7" width="9.28515625" style="19" customWidth="1"/>
    <col min="8" max="8" width="0.5703125" style="20" customWidth="1"/>
    <col min="9" max="9" width="12.140625" style="21" customWidth="1"/>
    <col min="10" max="10" width="9.28515625" style="19" customWidth="1"/>
    <col min="11" max="11" width="0.5703125" style="20" customWidth="1"/>
    <col min="12" max="12" width="12.140625" style="21" customWidth="1"/>
    <col min="13" max="13" width="9.28515625" style="19" customWidth="1"/>
    <col min="14" max="16384" width="9.140625" style="19"/>
  </cols>
  <sheetData>
    <row r="1" spans="1:17">
      <c r="A1" s="18"/>
      <c r="B1" s="491" t="str">
        <f>+'Datos iniciales'!C4</f>
        <v>ALFA</v>
      </c>
      <c r="C1" s="491"/>
    </row>
    <row r="2" spans="1:17">
      <c r="A2" s="18"/>
      <c r="B2" s="92"/>
      <c r="C2" s="92"/>
      <c r="F2" s="73"/>
    </row>
    <row r="3" spans="1:17">
      <c r="A3" s="18"/>
      <c r="B3" s="96" t="s">
        <v>136</v>
      </c>
      <c r="C3" s="92"/>
      <c r="F3" s="234">
        <f>IF(ABS(F39-F105)&gt;0.01,0,(F39-F105))</f>
        <v>2.3657378187635913E-3</v>
      </c>
      <c r="G3" s="235"/>
      <c r="H3" s="236"/>
      <c r="I3" s="234">
        <f>IF(ABS(I39-I105)&gt;0.01,0,(I39-I105))</f>
        <v>2.3657378042116761E-3</v>
      </c>
      <c r="J3" s="235"/>
      <c r="K3" s="236"/>
      <c r="L3" s="234">
        <f>IF(ABS(L39-L105)&gt;0.01,0,(L39-L105))</f>
        <v>-6.2802212778478861E-4</v>
      </c>
    </row>
    <row r="4" spans="1:17">
      <c r="F4" s="22" t="str">
        <f>+IF(ROUND(F40,2)=ROUND(F105,2)," ","No quadra el balanç")</f>
        <v xml:space="preserve"> </v>
      </c>
      <c r="I4" s="22" t="str">
        <f>+IF(ROUND(I40,2)=ROUND(I105,2)," ","No quadra el balanç")</f>
        <v xml:space="preserve"> </v>
      </c>
      <c r="L4" s="22" t="str">
        <f>+IF(ROUND(L40,2)=ROUND(L105,2)," ","No quadra el balanç")</f>
        <v xml:space="preserve"> </v>
      </c>
    </row>
    <row r="5" spans="1:17" ht="14.25" thickBot="1">
      <c r="B5" s="89" t="s">
        <v>137</v>
      </c>
      <c r="C5" s="88"/>
      <c r="D5" s="88"/>
      <c r="E5" s="90"/>
      <c r="F5" s="492">
        <f>+'B Pérdidas y Ganancias'!F3:G3</f>
        <v>2014</v>
      </c>
      <c r="G5" s="492"/>
      <c r="H5" s="90"/>
      <c r="I5" s="492">
        <f>+F5+1</f>
        <v>2015</v>
      </c>
      <c r="J5" s="492"/>
      <c r="K5" s="90"/>
      <c r="L5" s="492">
        <f>+I5+1</f>
        <v>2016</v>
      </c>
      <c r="M5" s="492"/>
    </row>
    <row r="7" spans="1:17">
      <c r="A7" s="26" t="s">
        <v>5</v>
      </c>
      <c r="B7" s="27" t="s">
        <v>138</v>
      </c>
      <c r="C7" s="28"/>
      <c r="D7" s="28"/>
      <c r="E7" s="29"/>
      <c r="F7" s="30">
        <f>+F9+F11+F13+F15+F17+F19</f>
        <v>37695.666666666672</v>
      </c>
      <c r="G7" s="31">
        <f>+IF(F$39=0," - %",F7/F$39)</f>
        <v>0.5515564406376311</v>
      </c>
      <c r="H7" s="29"/>
      <c r="I7" s="30">
        <f>+I9+I11+I13+I15+I17+I19</f>
        <v>55748.666666666664</v>
      </c>
      <c r="J7" s="31">
        <f>+IF(I$39=0," - %",I7/I$39)</f>
        <v>0.32376590987601178</v>
      </c>
      <c r="K7" s="29"/>
      <c r="L7" s="30">
        <f>+L9+L11+L13+L15+L17+L19</f>
        <v>53153</v>
      </c>
      <c r="M7" s="31">
        <f>+IF(L$39=0," - %",L7/L$39)</f>
        <v>0.27991451056010708</v>
      </c>
    </row>
    <row r="8" spans="1:17">
      <c r="A8" s="26"/>
      <c r="B8" s="32"/>
      <c r="C8" s="33"/>
      <c r="D8" s="33"/>
      <c r="E8" s="34"/>
      <c r="F8" s="35"/>
      <c r="G8" s="36"/>
      <c r="H8" s="34"/>
      <c r="I8" s="35"/>
      <c r="J8" s="36"/>
      <c r="K8" s="34"/>
      <c r="L8" s="35"/>
      <c r="M8" s="36"/>
    </row>
    <row r="9" spans="1:17">
      <c r="A9" s="37" t="s">
        <v>6</v>
      </c>
      <c r="B9" s="102" t="s">
        <v>139</v>
      </c>
      <c r="C9" s="103"/>
      <c r="D9" s="103"/>
      <c r="E9" s="104"/>
      <c r="F9" s="65">
        <f>+'Cuadro Amortización'!E6+'Cuadro Amortización'!E7+'Cuadro Amortización'!E8+'Cuadro Amortización'!E9+'Cuadro Amortización'!E11+'Cuadro Amortización'!E10</f>
        <v>15333.333333333332</v>
      </c>
      <c r="G9" s="105">
        <f>+IF(F7=0," -- %",F9/F7)</f>
        <v>0.40676647183142173</v>
      </c>
      <c r="H9" s="104"/>
      <c r="I9" s="65">
        <f>+'Cuadro Amortización'!H6+'Cuadro Amortización'!H7+'Cuadro Amortización'!H8+'Cuadro Amortización'!H9+'Cuadro Amortización'!H11+'Cuadro Amortización'!H10</f>
        <v>25000</v>
      </c>
      <c r="J9" s="105">
        <f>+IF(I7=0," -- %",I9/I7)</f>
        <v>0.44844121832510198</v>
      </c>
      <c r="K9" s="104"/>
      <c r="L9" s="65">
        <f>+'Cuadro Amortización'!K6+'Cuadro Amortización'!K7+'Cuadro Amortización'!K8+'Cuadro Amortización'!K9+'Cuadro Amortización'!K11+'Cuadro Amortización'!K10</f>
        <v>29000</v>
      </c>
      <c r="M9" s="105">
        <f>+IF(L7=0," -- %",L9/L7)</f>
        <v>0.54559479239177466</v>
      </c>
      <c r="Q9" s="454"/>
    </row>
    <row r="10" spans="1:17" s="33" customFormat="1">
      <c r="A10" s="100"/>
      <c r="E10" s="79"/>
      <c r="F10" s="64"/>
      <c r="G10" s="66"/>
      <c r="H10" s="79"/>
      <c r="I10" s="64"/>
      <c r="J10" s="66"/>
      <c r="K10" s="79"/>
      <c r="L10" s="64"/>
      <c r="M10" s="66"/>
    </row>
    <row r="11" spans="1:17">
      <c r="A11" s="37" t="s">
        <v>7</v>
      </c>
      <c r="B11" s="102" t="s">
        <v>140</v>
      </c>
      <c r="C11" s="102"/>
      <c r="D11" s="103"/>
      <c r="E11" s="104"/>
      <c r="F11" s="65">
        <f>+'Cuadro Amortización'!E12+'Cuadro Amortización'!E13+'Cuadro Amortización'!E14+'Cuadro Amortización'!E15+'Cuadro Amortización'!E16+'Cuadro Amortización'!E17+'Cuadro Amortización'!E18+'Cuadro Amortización'!E19+'Cuadro Amortización'!E20+'Cuadro Amortización'!E21</f>
        <v>22333.333333333336</v>
      </c>
      <c r="G11" s="105">
        <f>+IF(F$7=0," -- %",F11/F$7)</f>
        <v>0.59246420897185348</v>
      </c>
      <c r="H11" s="104"/>
      <c r="I11" s="65">
        <f>+'Cuadro Amortización'!H12+'Cuadro Amortización'!H13+'Cuadro Amortización'!H14+'Cuadro Amortización'!H15+'Cuadro Amortización'!H16+'Cuadro Amortización'!H17+'Cuadro Amortización'!H18+'Cuadro Amortización'!H19+'Cuadro Amortización'!H20+'Cuadro Amortización'!H21</f>
        <v>30666.666666666664</v>
      </c>
      <c r="J11" s="105">
        <f>+IF(I$7=0," -- %",I11/I$7)</f>
        <v>0.55008789447879169</v>
      </c>
      <c r="K11" s="104"/>
      <c r="L11" s="65">
        <f>+'Cuadro Amortización'!K12+'Cuadro Amortización'!K13+'Cuadro Amortización'!K14+'Cuadro Amortización'!K15+'Cuadro Amortización'!K16+'Cuadro Amortización'!K17+'Cuadro Amortización'!K18+'Cuadro Amortización'!K19+'Cuadro Amortización'!K20+'Cuadro Amortización'!K21</f>
        <v>24000.000000000004</v>
      </c>
      <c r="M11" s="105">
        <f>+IF(L$7=0," -- %",L11/L$7)</f>
        <v>0.45152672473802052</v>
      </c>
      <c r="Q11" s="454"/>
    </row>
    <row r="12" spans="1:17" s="33" customFormat="1">
      <c r="A12" s="100"/>
      <c r="E12" s="79"/>
      <c r="F12" s="64"/>
      <c r="G12" s="66"/>
      <c r="H12" s="79"/>
      <c r="I12" s="64"/>
      <c r="J12" s="66"/>
      <c r="K12" s="79"/>
      <c r="L12" s="64"/>
      <c r="M12" s="66"/>
    </row>
    <row r="13" spans="1:17">
      <c r="A13" s="37" t="s">
        <v>8</v>
      </c>
      <c r="B13" s="102" t="s">
        <v>141</v>
      </c>
      <c r="C13" s="103"/>
      <c r="D13" s="103"/>
      <c r="E13" s="104"/>
      <c r="F13" s="65">
        <f>+'Cuadro Amortización'!E22+'Cuadro Amortización'!E23</f>
        <v>29</v>
      </c>
      <c r="G13" s="105">
        <f>+IF(F$7=0," -- %",F13/F$7)</f>
        <v>7.6931919672464555E-4</v>
      </c>
      <c r="H13" s="104"/>
      <c r="I13" s="65">
        <f>+'Cuadro Amortización'!H22+'Cuadro Amortización'!H23</f>
        <v>82</v>
      </c>
      <c r="J13" s="105">
        <f>+IF(I$7=0," -- %",I13/I$7)</f>
        <v>1.4708871961063344E-3</v>
      </c>
      <c r="K13" s="104"/>
      <c r="L13" s="65">
        <f>+'Cuadro Amortización'!K22+'Cuadro Amortización'!K23</f>
        <v>153</v>
      </c>
      <c r="M13" s="105">
        <f>+IF(L$7=0," -- %",L13/L$7)</f>
        <v>2.8784828702048803E-3</v>
      </c>
      <c r="Q13" s="454"/>
    </row>
    <row r="14" spans="1:17" s="33" customFormat="1">
      <c r="A14" s="100"/>
      <c r="E14" s="79"/>
      <c r="F14" s="64"/>
      <c r="G14" s="66"/>
      <c r="H14" s="79"/>
      <c r="I14" s="64"/>
      <c r="J14" s="66"/>
      <c r="K14" s="79"/>
      <c r="L14" s="64"/>
      <c r="M14" s="66"/>
    </row>
    <row r="15" spans="1:17">
      <c r="A15" s="37" t="s">
        <v>9</v>
      </c>
      <c r="B15" s="102" t="s">
        <v>142</v>
      </c>
      <c r="C15" s="103"/>
      <c r="D15" s="103"/>
      <c r="E15" s="104"/>
      <c r="F15" s="65">
        <v>0</v>
      </c>
      <c r="G15" s="105">
        <f>+IF(F$7=0," -- %",F15/F$7)</f>
        <v>0</v>
      </c>
      <c r="H15" s="104"/>
      <c r="I15" s="65">
        <v>0</v>
      </c>
      <c r="J15" s="105">
        <f>+IF(I$7=0," -- %",I15/I$7)</f>
        <v>0</v>
      </c>
      <c r="K15" s="104"/>
      <c r="L15" s="65">
        <v>0</v>
      </c>
      <c r="M15" s="105">
        <f>+IF(L$7=0," -- %",L15/L$7)</f>
        <v>0</v>
      </c>
    </row>
    <row r="16" spans="1:17" s="33" customFormat="1">
      <c r="A16" s="100"/>
      <c r="E16" s="79"/>
      <c r="F16" s="64"/>
      <c r="G16" s="66"/>
      <c r="H16" s="79"/>
      <c r="I16" s="64"/>
      <c r="J16" s="66"/>
      <c r="K16" s="79"/>
      <c r="L16" s="64"/>
      <c r="M16" s="66"/>
    </row>
    <row r="17" spans="1:17">
      <c r="A17" s="37" t="s">
        <v>10</v>
      </c>
      <c r="B17" s="102" t="s">
        <v>143</v>
      </c>
      <c r="C17" s="103"/>
      <c r="D17" s="103"/>
      <c r="E17" s="104"/>
      <c r="F17" s="65">
        <v>0</v>
      </c>
      <c r="G17" s="105">
        <f>+IF(F$7=0," -- %",F17/F$7)</f>
        <v>0</v>
      </c>
      <c r="H17" s="104"/>
      <c r="I17" s="65">
        <v>0</v>
      </c>
      <c r="J17" s="105">
        <f>+IF(I$7=0," -- %",I17/I$7)</f>
        <v>0</v>
      </c>
      <c r="K17" s="104"/>
      <c r="L17" s="65">
        <v>0</v>
      </c>
      <c r="M17" s="105">
        <f>+IF(L$7=0," -- %",L17/L$7)</f>
        <v>0</v>
      </c>
    </row>
    <row r="18" spans="1:17" s="33" customFormat="1">
      <c r="A18" s="100"/>
      <c r="E18" s="79"/>
      <c r="F18" s="64"/>
      <c r="G18" s="66"/>
      <c r="H18" s="79"/>
      <c r="I18" s="64"/>
      <c r="J18" s="66"/>
      <c r="K18" s="79"/>
      <c r="L18" s="64"/>
      <c r="M18" s="66"/>
    </row>
    <row r="19" spans="1:17">
      <c r="A19" s="55" t="s">
        <v>11</v>
      </c>
      <c r="B19" s="102" t="s">
        <v>144</v>
      </c>
      <c r="C19" s="103"/>
      <c r="D19" s="103"/>
      <c r="E19" s="104"/>
      <c r="F19" s="106">
        <v>0</v>
      </c>
      <c r="G19" s="105">
        <f>+IF(F$7=0," -- %",F19/F$7)</f>
        <v>0</v>
      </c>
      <c r="H19" s="104"/>
      <c r="I19" s="106">
        <v>0</v>
      </c>
      <c r="J19" s="105">
        <f>+IF(I$7=0," -- %",I19/I$7)</f>
        <v>0</v>
      </c>
      <c r="K19" s="104"/>
      <c r="L19" s="106">
        <v>0</v>
      </c>
      <c r="M19" s="105">
        <f>+IF(L$7=0," -- %",L19/L$7)</f>
        <v>0</v>
      </c>
    </row>
    <row r="20" spans="1:17" s="33" customFormat="1">
      <c r="A20" s="100"/>
      <c r="E20" s="79"/>
      <c r="F20" s="64"/>
      <c r="G20" s="66"/>
      <c r="H20" s="79"/>
      <c r="I20" s="64"/>
      <c r="J20" s="66"/>
      <c r="K20" s="79"/>
      <c r="L20" s="64"/>
      <c r="M20" s="66"/>
    </row>
    <row r="21" spans="1:17">
      <c r="A21" s="26" t="s">
        <v>12</v>
      </c>
      <c r="B21" s="27" t="s">
        <v>145</v>
      </c>
      <c r="C21" s="28"/>
      <c r="D21" s="28"/>
      <c r="E21" s="29"/>
      <c r="F21" s="30">
        <f>+F23+F27+F32+F34+F38+F25+F36</f>
        <v>30648.502468750004</v>
      </c>
      <c r="G21" s="31">
        <f>+IF(F$39=0," - %",F21/F$39)</f>
        <v>0.44844355936236879</v>
      </c>
      <c r="H21" s="29"/>
      <c r="I21" s="30">
        <f>+I23+I27+I32+I34+I38+I25+I36</f>
        <v>116439.52537620769</v>
      </c>
      <c r="J21" s="31">
        <f>+IF(I$39=0," - %",I21/I$39)</f>
        <v>0.67623409012398827</v>
      </c>
      <c r="K21" s="29"/>
      <c r="L21" s="30">
        <f>ROUND((L23+L27+L32+L34+L38+L25+L36),2)</f>
        <v>136737.12</v>
      </c>
      <c r="M21" s="31">
        <f>+IF(L$39=0," - %",L21/L$39)</f>
        <v>0.72008548943989292</v>
      </c>
      <c r="Q21" s="454"/>
    </row>
    <row r="22" spans="1:17">
      <c r="A22" s="59"/>
      <c r="F22" s="60"/>
      <c r="I22" s="60"/>
      <c r="L22" s="60"/>
    </row>
    <row r="23" spans="1:17">
      <c r="A23" s="55" t="s">
        <v>6</v>
      </c>
      <c r="B23" s="102" t="s">
        <v>146</v>
      </c>
      <c r="C23" s="103"/>
      <c r="D23" s="103"/>
      <c r="E23" s="104"/>
      <c r="F23" s="107">
        <v>0</v>
      </c>
      <c r="G23" s="105">
        <f>+IF(F$21=0," -- %",F23/F$21)</f>
        <v>0</v>
      </c>
      <c r="H23" s="104"/>
      <c r="I23" s="107">
        <v>0</v>
      </c>
      <c r="J23" s="105">
        <f>+IF(I$21=0," -- %",I23/I$21)</f>
        <v>0</v>
      </c>
      <c r="K23" s="104"/>
      <c r="L23" s="107">
        <v>0</v>
      </c>
      <c r="M23" s="105">
        <f>+IF(L$21=0," -- %",L23/L$21)</f>
        <v>0</v>
      </c>
    </row>
    <row r="24" spans="1:17" s="33" customFormat="1">
      <c r="A24" s="100"/>
      <c r="E24" s="79"/>
      <c r="F24" s="64"/>
      <c r="G24" s="66"/>
      <c r="H24" s="79"/>
      <c r="I24" s="64"/>
      <c r="J24" s="66"/>
      <c r="K24" s="79"/>
      <c r="L24" s="64"/>
      <c r="M24" s="66"/>
    </row>
    <row r="25" spans="1:17">
      <c r="A25" s="55" t="s">
        <v>7</v>
      </c>
      <c r="B25" s="102" t="s">
        <v>147</v>
      </c>
      <c r="C25" s="103"/>
      <c r="D25" s="103"/>
      <c r="E25" s="104"/>
      <c r="F25" s="65">
        <v>0</v>
      </c>
      <c r="G25" s="105">
        <f>+IF(F$21=0," -- %",F25/F$21)</f>
        <v>0</v>
      </c>
      <c r="H25" s="104"/>
      <c r="I25" s="65">
        <v>0</v>
      </c>
      <c r="J25" s="105">
        <f>+IF(I$21=0," -- %",I25/I$21)</f>
        <v>0</v>
      </c>
      <c r="K25" s="104"/>
      <c r="L25" s="65">
        <v>0</v>
      </c>
      <c r="M25" s="105">
        <f>+IF(L$21=0," -- %",L25/L$21)</f>
        <v>0</v>
      </c>
    </row>
    <row r="26" spans="1:17" s="33" customFormat="1">
      <c r="A26" s="108"/>
      <c r="E26" s="79"/>
      <c r="F26" s="64"/>
      <c r="G26" s="66"/>
      <c r="H26" s="79"/>
      <c r="I26" s="64"/>
      <c r="J26" s="66"/>
      <c r="K26" s="79"/>
      <c r="L26" s="64"/>
      <c r="M26" s="66"/>
    </row>
    <row r="27" spans="1:17">
      <c r="A27" s="55" t="s">
        <v>8</v>
      </c>
      <c r="B27" s="38" t="s">
        <v>148</v>
      </c>
      <c r="C27" s="39"/>
      <c r="D27" s="39"/>
      <c r="E27" s="40"/>
      <c r="F27" s="41">
        <f>+F28+F29+F30</f>
        <v>4554.3324687500008</v>
      </c>
      <c r="G27" s="42">
        <f>+IF(F$21=0," -- %",F27/F$21)</f>
        <v>0.14859885808103396</v>
      </c>
      <c r="H27" s="40"/>
      <c r="I27" s="41">
        <f>+I28+I29+I30</f>
        <v>14711.8</v>
      </c>
      <c r="J27" s="42">
        <f>+IF(I$21=0," -- %",I27/I$21)</f>
        <v>0.12634713128954483</v>
      </c>
      <c r="K27" s="40"/>
      <c r="L27" s="41">
        <f>+L28+L29+L30</f>
        <v>17574.03803541667</v>
      </c>
      <c r="M27" s="42">
        <f>+IF(L$21=0," -- %",L27/L$21)</f>
        <v>0.12852426638367601</v>
      </c>
      <c r="Q27" s="454"/>
    </row>
    <row r="28" spans="1:17" ht="14.25" thickBot="1">
      <c r="A28" s="59"/>
      <c r="B28" s="44">
        <v>1</v>
      </c>
      <c r="C28" s="44" t="s">
        <v>149</v>
      </c>
      <c r="D28" s="44"/>
      <c r="E28" s="45"/>
      <c r="F28" s="50">
        <f>+'A Tesorería'!W26</f>
        <v>3278</v>
      </c>
      <c r="G28" s="47">
        <f>+IF(F$27=0," -- %",F28/F$27)</f>
        <v>0.7197542169993778</v>
      </c>
      <c r="H28" s="45"/>
      <c r="I28" s="50">
        <f>+'A Tesorería'!Z26</f>
        <v>14711.8</v>
      </c>
      <c r="J28" s="47">
        <f>+IF(I$27=0," -- %",I28/I$27)</f>
        <v>1</v>
      </c>
      <c r="K28" s="45"/>
      <c r="L28" s="50">
        <f>'A Tesorería'!AC26</f>
        <v>3924.5749999999998</v>
      </c>
      <c r="M28" s="47">
        <f>+IF(L$27=0," -- %",L28/L$27)</f>
        <v>0.22331663287008191</v>
      </c>
    </row>
    <row r="29" spans="1:17" ht="14.25" thickBot="1">
      <c r="A29" s="59"/>
      <c r="B29" s="44">
        <v>2</v>
      </c>
      <c r="C29" s="44" t="s">
        <v>150</v>
      </c>
      <c r="D29" s="44"/>
      <c r="E29" s="45"/>
      <c r="F29" s="50"/>
      <c r="G29" s="47">
        <f>+IF(F$27=0," -- %",F29/F$27)</f>
        <v>0</v>
      </c>
      <c r="H29" s="45"/>
      <c r="I29" s="50"/>
      <c r="J29" s="47">
        <f>+IF(I$27=0," -- %",I29/I$27)</f>
        <v>0</v>
      </c>
      <c r="K29" s="45"/>
      <c r="L29" s="50"/>
      <c r="M29" s="47">
        <f>+IF(L$27=0," -- %",L29/L$27)</f>
        <v>0</v>
      </c>
    </row>
    <row r="30" spans="1:17" ht="14.25" thickBot="1">
      <c r="A30" s="59"/>
      <c r="B30" s="44">
        <v>3</v>
      </c>
      <c r="C30" s="44" t="s">
        <v>151</v>
      </c>
      <c r="D30" s="44"/>
      <c r="E30" s="45"/>
      <c r="F30" s="50">
        <f>IF('Liquidación Impuesto Beneficios'!F11&lt;0,-'Liquidación Impuesto Beneficios'!F11,0)</f>
        <v>1276.3324687500003</v>
      </c>
      <c r="G30" s="47">
        <f>+IF(F$27=0," -- %",F30/F$27)</f>
        <v>0.28024578300062214</v>
      </c>
      <c r="H30" s="45"/>
      <c r="I30" s="50">
        <f>IF('Liquidación Impuesto Beneficios'!I15&lt;0,-'Liquidación Impuesto Beneficios'!I15,0)</f>
        <v>0</v>
      </c>
      <c r="J30" s="47">
        <f>+IF(I$27=0," -- %",I30/I$27)</f>
        <v>0</v>
      </c>
      <c r="K30" s="45"/>
      <c r="L30" s="50">
        <f>IF('Liquidación Impuesto Beneficios'!L15&lt;0,-'Liquidación Impuesto Beneficios'!L15,0)</f>
        <v>13649.463035416669</v>
      </c>
      <c r="M30" s="47">
        <f>+IF(L$27=0," -- %",L30/L$27)</f>
        <v>0.77668336712991803</v>
      </c>
    </row>
    <row r="31" spans="1:17" s="33" customFormat="1">
      <c r="A31" s="108"/>
      <c r="B31" s="52"/>
      <c r="C31" s="52"/>
      <c r="D31" s="52"/>
      <c r="E31" s="53"/>
      <c r="F31" s="101"/>
      <c r="G31" s="54"/>
      <c r="H31" s="53"/>
      <c r="I31" s="101"/>
      <c r="J31" s="54"/>
      <c r="K31" s="53"/>
      <c r="L31" s="101"/>
      <c r="M31" s="54"/>
    </row>
    <row r="32" spans="1:17">
      <c r="A32" s="55" t="s">
        <v>9</v>
      </c>
      <c r="B32" s="102" t="s">
        <v>152</v>
      </c>
      <c r="C32" s="103"/>
      <c r="D32" s="103"/>
      <c r="E32" s="104"/>
      <c r="F32" s="65">
        <v>0</v>
      </c>
      <c r="G32" s="105">
        <f>+IF(F$21=0," -- %",F32/F$21)</f>
        <v>0</v>
      </c>
      <c r="H32" s="104"/>
      <c r="I32" s="65">
        <v>0</v>
      </c>
      <c r="J32" s="105">
        <f>+IF(I$21=0," -- %",I32/I$21)</f>
        <v>0</v>
      </c>
      <c r="K32" s="104"/>
      <c r="L32" s="65">
        <v>0</v>
      </c>
      <c r="M32" s="105">
        <f>+IF(L$21=0," -- %",L32/L$21)</f>
        <v>0</v>
      </c>
    </row>
    <row r="33" spans="1:21" s="33" customFormat="1">
      <c r="A33" s="108"/>
      <c r="E33" s="79"/>
      <c r="F33" s="64"/>
      <c r="G33" s="66"/>
      <c r="H33" s="79"/>
      <c r="I33" s="64"/>
      <c r="J33" s="66"/>
      <c r="K33" s="79"/>
      <c r="L33" s="64"/>
      <c r="M33" s="66"/>
    </row>
    <row r="34" spans="1:21">
      <c r="A34" s="55" t="s">
        <v>10</v>
      </c>
      <c r="B34" s="102" t="s">
        <v>153</v>
      </c>
      <c r="C34" s="103"/>
      <c r="D34" s="103"/>
      <c r="E34" s="104"/>
      <c r="F34" s="65">
        <v>0</v>
      </c>
      <c r="G34" s="105">
        <f>+IF(F$21=0," -- %",F34/F$21)</f>
        <v>0</v>
      </c>
      <c r="H34" s="104"/>
      <c r="I34" s="65">
        <v>0</v>
      </c>
      <c r="J34" s="105">
        <f>+IF(I$21=0," -- %",I34/I$21)</f>
        <v>0</v>
      </c>
      <c r="K34" s="104"/>
      <c r="L34" s="65">
        <v>0</v>
      </c>
      <c r="M34" s="105">
        <f>+IF(L$21=0," -- %",L34/L$21)</f>
        <v>0</v>
      </c>
    </row>
    <row r="35" spans="1:21" s="33" customFormat="1">
      <c r="A35" s="108"/>
      <c r="E35" s="79"/>
      <c r="F35" s="64"/>
      <c r="G35" s="66"/>
      <c r="H35" s="79"/>
      <c r="I35" s="64"/>
      <c r="J35" s="66"/>
      <c r="K35" s="79"/>
      <c r="L35" s="64"/>
      <c r="M35" s="66"/>
    </row>
    <row r="36" spans="1:21">
      <c r="A36" s="55" t="s">
        <v>11</v>
      </c>
      <c r="B36" s="102" t="s">
        <v>154</v>
      </c>
      <c r="C36" s="103"/>
      <c r="D36" s="103"/>
      <c r="E36" s="104"/>
      <c r="F36" s="110">
        <v>0</v>
      </c>
      <c r="G36" s="105">
        <f>+IF(F$21=0," -- %",F36/F$21)</f>
        <v>0</v>
      </c>
      <c r="H36" s="104"/>
      <c r="I36" s="110">
        <v>0</v>
      </c>
      <c r="J36" s="105">
        <f>+IF(I$21=0," -- %",I36/I$21)</f>
        <v>0</v>
      </c>
      <c r="K36" s="104"/>
      <c r="L36" s="110">
        <v>0</v>
      </c>
      <c r="M36" s="105">
        <f>+IF(L$21=0," -- %",L36/L$21)</f>
        <v>0</v>
      </c>
    </row>
    <row r="37" spans="1:21" s="33" customFormat="1">
      <c r="A37" s="108"/>
      <c r="E37" s="79"/>
      <c r="F37" s="64"/>
      <c r="G37" s="66"/>
      <c r="H37" s="79"/>
      <c r="I37" s="64"/>
      <c r="J37" s="66"/>
      <c r="K37" s="79"/>
      <c r="L37" s="64"/>
      <c r="M37" s="66"/>
    </row>
    <row r="38" spans="1:21">
      <c r="A38" s="55" t="s">
        <v>13</v>
      </c>
      <c r="B38" s="102" t="s">
        <v>155</v>
      </c>
      <c r="C38" s="103"/>
      <c r="D38" s="103"/>
      <c r="E38" s="104"/>
      <c r="F38" s="65">
        <f>+'A Tesorería'!V114</f>
        <v>26094.170000000002</v>
      </c>
      <c r="G38" s="105">
        <f>+IF(F$21=0," -- %",F38/F$21)</f>
        <v>0.85140114191896599</v>
      </c>
      <c r="H38" s="104"/>
      <c r="I38" s="65">
        <f>+'A Tesorería'!Y114</f>
        <v>101727.72537620769</v>
      </c>
      <c r="J38" s="105">
        <f>+IF(I$21=0," -- %",I38/I$21)</f>
        <v>0.87365286871045511</v>
      </c>
      <c r="K38" s="104"/>
      <c r="L38" s="65">
        <f>+'A Tesorería'!AB114</f>
        <v>119163.08495834326</v>
      </c>
      <c r="M38" s="105">
        <f>+IF(L$21=0," -- %",L38/L$21)</f>
        <v>0.87147575551059775</v>
      </c>
      <c r="Q38" s="454"/>
    </row>
    <row r="39" spans="1:21" ht="14.25" thickBot="1">
      <c r="B39" s="24"/>
      <c r="C39" s="24"/>
      <c r="D39" s="24"/>
      <c r="E39" s="61"/>
      <c r="F39" s="231">
        <f>(F7+F21)</f>
        <v>68344.169135416683</v>
      </c>
      <c r="G39" s="232"/>
      <c r="H39" s="233"/>
      <c r="I39" s="231">
        <f>(I7+I21)</f>
        <v>172188.19204287435</v>
      </c>
      <c r="J39" s="232"/>
      <c r="K39" s="233"/>
      <c r="L39" s="231">
        <f>(L7+L21)</f>
        <v>189890.12</v>
      </c>
      <c r="M39" s="232"/>
    </row>
    <row r="40" spans="1:21" ht="14.25" thickTop="1">
      <c r="B40" s="18" t="s">
        <v>156</v>
      </c>
      <c r="F40" s="230">
        <f>+F39-F3</f>
        <v>68344.166769678865</v>
      </c>
      <c r="G40" s="63">
        <f>+IF(F$39=0," -- %",F39/F$39)</f>
        <v>1</v>
      </c>
      <c r="I40" s="230">
        <f>+I39-I3</f>
        <v>172188.18967713654</v>
      </c>
      <c r="J40" s="63">
        <f>+IF(I$39=0," -- %",I39/I$39)</f>
        <v>1</v>
      </c>
      <c r="L40" s="230">
        <f>+L39-L3</f>
        <v>189890.12062802212</v>
      </c>
      <c r="M40" s="63">
        <f>+IF(L$39=0," -- %",L39/L$39)</f>
        <v>1</v>
      </c>
      <c r="O40" s="85"/>
      <c r="Q40" s="85"/>
      <c r="R40" s="85"/>
      <c r="U40" s="85"/>
    </row>
    <row r="41" spans="1:21">
      <c r="R41" s="85"/>
      <c r="U41" s="85"/>
    </row>
    <row r="42" spans="1:21" ht="14.25" thickBot="1">
      <c r="B42" s="23" t="s">
        <v>157</v>
      </c>
      <c r="C42" s="24"/>
      <c r="D42" s="24"/>
      <c r="E42" s="25"/>
      <c r="F42" s="493">
        <f>+F5</f>
        <v>2014</v>
      </c>
      <c r="G42" s="493"/>
      <c r="H42" s="25"/>
      <c r="I42" s="493">
        <f>+I5</f>
        <v>2015</v>
      </c>
      <c r="J42" s="493"/>
      <c r="K42" s="25"/>
      <c r="L42" s="493">
        <f>+L5</f>
        <v>2016</v>
      </c>
      <c r="M42" s="493"/>
    </row>
    <row r="43" spans="1:21" ht="14.25" thickTop="1">
      <c r="Q43" s="8"/>
      <c r="U43" s="85"/>
    </row>
    <row r="44" spans="1:21">
      <c r="A44" s="26" t="s">
        <v>5</v>
      </c>
      <c r="B44" s="27" t="s">
        <v>158</v>
      </c>
      <c r="C44" s="28"/>
      <c r="D44" s="28"/>
      <c r="E44" s="29"/>
      <c r="F44" s="30">
        <f>+F46+F67+F69</f>
        <v>58735.26509375</v>
      </c>
      <c r="G44" s="31">
        <f>+IF(F$105=0," - %",F44/F$105)</f>
        <v>0.85940421648110743</v>
      </c>
      <c r="H44" s="29"/>
      <c r="I44" s="30">
        <f>+I46+I67+I69</f>
        <v>151943.49534374999</v>
      </c>
      <c r="J44" s="31">
        <f>+IF(I$105=0," - %",I44/I$105)</f>
        <v>0.88242692851730076</v>
      </c>
      <c r="K44" s="29"/>
      <c r="L44" s="30">
        <f>(L46+L67+L69)</f>
        <v>185468.3887375</v>
      </c>
      <c r="M44" s="31">
        <f>+IF(L$105=0," - %",L44/L$105)</f>
        <v>0.97671426045811038</v>
      </c>
    </row>
    <row r="45" spans="1:21">
      <c r="A45" s="26"/>
      <c r="B45" s="32"/>
      <c r="C45" s="33"/>
      <c r="D45" s="33"/>
      <c r="E45" s="34"/>
      <c r="F45" s="64"/>
      <c r="G45" s="36"/>
      <c r="H45" s="34"/>
      <c r="I45" s="64"/>
      <c r="J45" s="36"/>
      <c r="K45" s="34"/>
      <c r="L45" s="64"/>
      <c r="M45" s="36"/>
    </row>
    <row r="46" spans="1:21">
      <c r="A46" s="26" t="s">
        <v>14</v>
      </c>
      <c r="B46" s="32" t="s">
        <v>48</v>
      </c>
      <c r="C46" s="33"/>
      <c r="D46" s="33"/>
      <c r="E46" s="34"/>
      <c r="F46" s="64">
        <f>+F47+F51+F53+F55+F57+F59+F61+F63+F65</f>
        <v>16171.00259375</v>
      </c>
      <c r="G46" s="54">
        <f>+IF(F$44=0," -- %",F46/F$44)</f>
        <v>0.27532016017870581</v>
      </c>
      <c r="H46" s="34"/>
      <c r="I46" s="64">
        <f>+I47+I51+I53+I55+I57+I59+I61+I63+I65</f>
        <v>70193.350343750004</v>
      </c>
      <c r="J46" s="54">
        <f>+IF(I$44=0," -- %",I46/I$44)</f>
        <v>0.46197009082190577</v>
      </c>
      <c r="K46" s="34"/>
      <c r="L46" s="64">
        <f>+L47+L51+L53+L55+L57+L59+L61+L63+L65</f>
        <v>69244.9612375</v>
      </c>
      <c r="M46" s="54">
        <f>+IF(L$44=0," -- %",L46/L$44)</f>
        <v>0.37335182404320583</v>
      </c>
      <c r="Q46" s="8"/>
    </row>
    <row r="47" spans="1:21">
      <c r="A47" s="37" t="s">
        <v>6</v>
      </c>
      <c r="B47" s="3" t="s">
        <v>0</v>
      </c>
      <c r="C47" s="48"/>
      <c r="D47" s="48"/>
      <c r="E47" s="49"/>
      <c r="F47" s="51">
        <f>+SUM(F48:F49)</f>
        <v>20000</v>
      </c>
      <c r="G47" s="56">
        <f>+IF(F$46=0," -- %",F47/F$46)</f>
        <v>1.2367816951392911</v>
      </c>
      <c r="H47" s="49"/>
      <c r="I47" s="51">
        <f>+SUM(I48:I49)</f>
        <v>60000</v>
      </c>
      <c r="J47" s="56">
        <f>+IF(I$46=0," -- %",I47/I$46)</f>
        <v>0.85478182343724507</v>
      </c>
      <c r="K47" s="49"/>
      <c r="L47" s="51">
        <f>+SUM(L48:L49)</f>
        <v>100000</v>
      </c>
      <c r="M47" s="56">
        <f>+IF(L$46=0," -- %",L47/L$46)</f>
        <v>1.4441484003004168</v>
      </c>
      <c r="Q47" s="454"/>
    </row>
    <row r="48" spans="1:21" ht="14.25" thickBot="1">
      <c r="A48" s="43"/>
      <c r="B48" s="19">
        <v>1</v>
      </c>
      <c r="C48" s="19" t="s">
        <v>159</v>
      </c>
      <c r="F48" s="46">
        <f>+'2 Financiación'!F11</f>
        <v>20000</v>
      </c>
      <c r="G48" s="57">
        <f>+IF(F$47=0," -- %",F48/F$47)</f>
        <v>1</v>
      </c>
      <c r="I48" s="46">
        <f>+'2 Financiación'!F11+'2 Financiación'!I11</f>
        <v>60000</v>
      </c>
      <c r="J48" s="57">
        <f>+IF(I$47=0," -- %",I48/I$47)</f>
        <v>1</v>
      </c>
      <c r="L48" s="46">
        <f>+'2 Financiación'!F11+'2 Financiación'!I11+'2 Financiación'!L11</f>
        <v>100000</v>
      </c>
      <c r="M48" s="57">
        <f>+IF(L$47=0," -- %",L48/L$47)</f>
        <v>1</v>
      </c>
    </row>
    <row r="49" spans="1:17" ht="14.25" thickBot="1">
      <c r="A49" s="43"/>
      <c r="B49" s="19">
        <v>2</v>
      </c>
      <c r="C49" s="19" t="s">
        <v>160</v>
      </c>
      <c r="F49" s="46"/>
      <c r="G49" s="54">
        <f>+IF(F$47=0," -- %",F49/F$47)</f>
        <v>0</v>
      </c>
      <c r="I49" s="46"/>
      <c r="J49" s="54">
        <f>+IF(I$47=0," -- %",I49/I$47)</f>
        <v>0</v>
      </c>
      <c r="L49" s="46"/>
      <c r="M49" s="54">
        <f>+IF(L$47=0," -- %",L49/L$47)</f>
        <v>0</v>
      </c>
    </row>
    <row r="50" spans="1:17" s="33" customFormat="1">
      <c r="A50" s="100"/>
      <c r="E50" s="79"/>
      <c r="F50" s="64"/>
      <c r="G50" s="66"/>
      <c r="H50" s="79"/>
      <c r="I50" s="64"/>
      <c r="J50" s="66"/>
      <c r="K50" s="79"/>
      <c r="L50" s="64"/>
      <c r="M50" s="66"/>
    </row>
    <row r="51" spans="1:17">
      <c r="A51" s="37" t="s">
        <v>7</v>
      </c>
      <c r="B51" s="102" t="s">
        <v>161</v>
      </c>
      <c r="C51" s="103"/>
      <c r="D51" s="103"/>
      <c r="E51" s="104"/>
      <c r="F51" s="110">
        <v>0</v>
      </c>
      <c r="G51" s="105">
        <f>+IF(F$46=0," -- %",F51/F$46)</f>
        <v>0</v>
      </c>
      <c r="H51" s="104"/>
      <c r="I51" s="110">
        <v>0</v>
      </c>
      <c r="J51" s="105">
        <f>+IF(I$46=0," -- %",I51/I$46)</f>
        <v>0</v>
      </c>
      <c r="K51" s="104"/>
      <c r="L51" s="110">
        <v>0</v>
      </c>
      <c r="M51" s="105">
        <f>+IF(L$46=0," -- %",L51/L$46)</f>
        <v>0</v>
      </c>
    </row>
    <row r="52" spans="1:17" s="33" customFormat="1">
      <c r="A52" s="100"/>
      <c r="E52" s="79"/>
      <c r="F52" s="64"/>
      <c r="G52" s="66"/>
      <c r="H52" s="79"/>
      <c r="I52" s="64"/>
      <c r="J52" s="66"/>
      <c r="K52" s="79"/>
      <c r="L52" s="64"/>
      <c r="M52" s="66"/>
    </row>
    <row r="53" spans="1:17" s="33" customFormat="1">
      <c r="A53" s="26" t="s">
        <v>8</v>
      </c>
      <c r="B53" s="102" t="s">
        <v>162</v>
      </c>
      <c r="C53" s="103"/>
      <c r="D53" s="103"/>
      <c r="E53" s="104"/>
      <c r="F53" s="65">
        <v>0</v>
      </c>
      <c r="G53" s="105">
        <f>+IF(F$46=0," -- %",F53/F$46)</f>
        <v>0</v>
      </c>
      <c r="H53" s="104"/>
      <c r="I53" s="65">
        <f>+'5 Distribución Resultado'!D5-'5 Distribución Resultado'!D13-'5 Distribución Resultado'!D12-'5 Distribución Resultado'!D11</f>
        <v>0</v>
      </c>
      <c r="J53" s="105">
        <f>+IF(I$46=0," -- %",I53/I$46)</f>
        <v>0</v>
      </c>
      <c r="K53" s="104"/>
      <c r="L53" s="65">
        <f>+I53+'5 Distribución Resultado'!D15-'5 Distribución Resultado'!D23-'5 Distribución Resultado'!D22-'5 Distribución Resultado'!D21</f>
        <v>12522.347750000001</v>
      </c>
      <c r="M53" s="105">
        <f>+IF(L$46=0," -- %",L53/L$46)</f>
        <v>0.18084128471168026</v>
      </c>
      <c r="Q53" s="454"/>
    </row>
    <row r="54" spans="1:17" s="33" customFormat="1">
      <c r="E54" s="79"/>
      <c r="F54" s="64"/>
      <c r="G54" s="66"/>
      <c r="H54" s="79"/>
      <c r="I54" s="64"/>
      <c r="J54" s="66"/>
      <c r="K54" s="79"/>
      <c r="L54" s="64"/>
      <c r="M54" s="66"/>
    </row>
    <row r="55" spans="1:17">
      <c r="A55" s="37" t="s">
        <v>9</v>
      </c>
      <c r="B55" s="102" t="s">
        <v>163</v>
      </c>
      <c r="C55" s="103"/>
      <c r="D55" s="103"/>
      <c r="E55" s="104"/>
      <c r="F55" s="110">
        <v>0</v>
      </c>
      <c r="G55" s="105">
        <f>+IF(F$46=0," -- %",F55/F$46)</f>
        <v>0</v>
      </c>
      <c r="H55" s="104"/>
      <c r="I55" s="110">
        <v>0</v>
      </c>
      <c r="J55" s="105">
        <f>+IF(I$46=0," -- %",I55/I$46)</f>
        <v>0</v>
      </c>
      <c r="K55" s="104"/>
      <c r="L55" s="110">
        <v>0</v>
      </c>
      <c r="M55" s="105">
        <f>+IF(L$46=0," -- %",L55/L$46)</f>
        <v>0</v>
      </c>
    </row>
    <row r="56" spans="1:17" s="33" customFormat="1">
      <c r="A56" s="108"/>
      <c r="E56" s="79"/>
      <c r="F56" s="64"/>
      <c r="G56" s="66"/>
      <c r="H56" s="79"/>
      <c r="I56" s="64"/>
      <c r="J56" s="66"/>
      <c r="K56" s="79"/>
      <c r="L56" s="64"/>
      <c r="M56" s="66"/>
    </row>
    <row r="57" spans="1:17">
      <c r="A57" s="55" t="s">
        <v>10</v>
      </c>
      <c r="B57" s="102" t="s">
        <v>164</v>
      </c>
      <c r="C57" s="103"/>
      <c r="D57" s="103"/>
      <c r="E57" s="104"/>
      <c r="F57" s="65">
        <v>0</v>
      </c>
      <c r="G57" s="105">
        <f>+IF(F$46=0," -- %",F57/F$46)</f>
        <v>0</v>
      </c>
      <c r="H57" s="104"/>
      <c r="I57" s="65">
        <f>'5 Distribución Resultado'!D13</f>
        <v>-3828.9974062500009</v>
      </c>
      <c r="J57" s="105">
        <f>+IF(I$46=0," -- %",I57/I$46)</f>
        <v>-5.4549289747514294E-2</v>
      </c>
      <c r="K57" s="104"/>
      <c r="L57" s="65">
        <f>+'5 Distribución Resultado'!E22+'5 Distribución Resultado'!D23</f>
        <v>-2328.9974062500009</v>
      </c>
      <c r="M57" s="105">
        <f>+IF(L$46=0," -- %",L57/L$46)</f>
        <v>-3.3634178785397588E-2</v>
      </c>
    </row>
    <row r="58" spans="1:17" s="33" customFormat="1">
      <c r="E58" s="79"/>
      <c r="F58" s="64"/>
      <c r="G58" s="66"/>
      <c r="H58" s="79"/>
      <c r="I58" s="64"/>
      <c r="J58" s="66"/>
      <c r="K58" s="79"/>
      <c r="L58" s="64"/>
      <c r="M58" s="66"/>
    </row>
    <row r="59" spans="1:17">
      <c r="A59" s="37" t="s">
        <v>11</v>
      </c>
      <c r="B59" s="102" t="s">
        <v>165</v>
      </c>
      <c r="C59" s="103"/>
      <c r="D59" s="103"/>
      <c r="E59" s="104"/>
      <c r="F59" s="65">
        <v>0</v>
      </c>
      <c r="G59" s="105">
        <f>+IF(F$46=0," -- %",F59/F$46)</f>
        <v>0</v>
      </c>
      <c r="H59" s="104"/>
      <c r="I59" s="65">
        <v>0</v>
      </c>
      <c r="J59" s="105">
        <f>+IF(I$46=0," -- %",I59/I$46)</f>
        <v>0</v>
      </c>
      <c r="K59" s="104"/>
      <c r="L59" s="65">
        <v>0</v>
      </c>
      <c r="M59" s="105">
        <f>+IF(L$46=0," -- %",L59/L$46)</f>
        <v>0</v>
      </c>
      <c r="P59" s="448"/>
    </row>
    <row r="60" spans="1:17" s="33" customFormat="1">
      <c r="A60" s="108"/>
      <c r="E60" s="79"/>
      <c r="F60" s="64"/>
      <c r="G60" s="66"/>
      <c r="H60" s="79"/>
      <c r="I60" s="64"/>
      <c r="J60" s="66"/>
      <c r="K60" s="79"/>
      <c r="L60" s="64"/>
      <c r="M60" s="66"/>
    </row>
    <row r="61" spans="1:17">
      <c r="A61" s="37" t="s">
        <v>13</v>
      </c>
      <c r="B61" s="102" t="s">
        <v>166</v>
      </c>
      <c r="C61" s="103"/>
      <c r="D61" s="103"/>
      <c r="E61" s="104"/>
      <c r="F61" s="65">
        <f>+'B Pérdidas y Ganancias'!F46</f>
        <v>-3828.9974062500009</v>
      </c>
      <c r="G61" s="105">
        <f>+IF(F$46=0," -- %",F61/F$46)</f>
        <v>-0.23678169513929129</v>
      </c>
      <c r="H61" s="104"/>
      <c r="I61" s="65">
        <f>+'B Pérdidas y Ganancias'!I46</f>
        <v>14022.347750000001</v>
      </c>
      <c r="J61" s="105">
        <f>+IF(I$46=0," -- %",I61/I$46)</f>
        <v>0.19976746631026918</v>
      </c>
      <c r="K61" s="104"/>
      <c r="L61" s="65">
        <f>+'B Pérdidas y Ganancias'!L46</f>
        <v>-40948.389106250004</v>
      </c>
      <c r="M61" s="105">
        <f>+IF(L$46=0," -- %",L61/L$46)</f>
        <v>-0.59135550622669963</v>
      </c>
      <c r="Q61" s="454"/>
    </row>
    <row r="62" spans="1:17" s="33" customFormat="1">
      <c r="A62" s="108"/>
      <c r="E62" s="79"/>
      <c r="F62" s="64"/>
      <c r="G62" s="66"/>
      <c r="H62" s="79"/>
      <c r="I62" s="64"/>
      <c r="J62" s="66"/>
      <c r="K62" s="79"/>
      <c r="L62" s="64"/>
      <c r="M62" s="66"/>
    </row>
    <row r="63" spans="1:17">
      <c r="A63" s="37" t="s">
        <v>15</v>
      </c>
      <c r="B63" s="102" t="s">
        <v>167</v>
      </c>
      <c r="C63" s="103"/>
      <c r="D63" s="103"/>
      <c r="E63" s="104"/>
      <c r="F63" s="65">
        <v>0</v>
      </c>
      <c r="G63" s="105">
        <f>+IF(F$46=0," -- %",F63/F$46)</f>
        <v>0</v>
      </c>
      <c r="H63" s="104"/>
      <c r="I63" s="65">
        <v>0</v>
      </c>
      <c r="J63" s="105">
        <f>+IF(I$46=0," -- %",I63/I$46)</f>
        <v>0</v>
      </c>
      <c r="K63" s="104"/>
      <c r="L63" s="65">
        <v>0</v>
      </c>
      <c r="M63" s="105">
        <f>+IF(L$46=0," -- %",L63/L$46)</f>
        <v>0</v>
      </c>
    </row>
    <row r="64" spans="1:17" s="33" customFormat="1">
      <c r="A64" s="108"/>
      <c r="E64" s="79"/>
      <c r="F64" s="64"/>
      <c r="G64" s="66"/>
      <c r="H64" s="79"/>
      <c r="I64" s="64"/>
      <c r="J64" s="66"/>
      <c r="K64" s="79"/>
      <c r="L64" s="64"/>
      <c r="M64" s="66"/>
    </row>
    <row r="65" spans="1:17" s="33" customFormat="1">
      <c r="A65" s="111" t="s">
        <v>16</v>
      </c>
      <c r="B65" s="102" t="s">
        <v>168</v>
      </c>
      <c r="C65" s="103"/>
      <c r="D65" s="103"/>
      <c r="E65" s="104"/>
      <c r="F65" s="65">
        <v>0</v>
      </c>
      <c r="G65" s="105">
        <f>+IF(F$46=0," -- %",F65/F$46)</f>
        <v>0</v>
      </c>
      <c r="H65" s="104"/>
      <c r="I65" s="65">
        <v>0</v>
      </c>
      <c r="J65" s="105">
        <f>+IF(I$46=0," -- %",I65/I$46)</f>
        <v>0</v>
      </c>
      <c r="K65" s="104"/>
      <c r="L65" s="65">
        <v>0</v>
      </c>
      <c r="M65" s="105">
        <f>+IF(L$46=0," -- %",L65/L$46)</f>
        <v>0</v>
      </c>
    </row>
    <row r="66" spans="1:17">
      <c r="F66" s="60"/>
      <c r="I66" s="60"/>
      <c r="L66" s="60"/>
    </row>
    <row r="67" spans="1:17">
      <c r="A67" s="26" t="s">
        <v>17</v>
      </c>
      <c r="B67" s="32" t="s">
        <v>169</v>
      </c>
      <c r="C67" s="33"/>
      <c r="D67" s="33"/>
      <c r="E67" s="34"/>
      <c r="F67" s="64">
        <v>0</v>
      </c>
      <c r="G67" s="54">
        <f>+IF(F$44=0," -- %",F67/F$44)</f>
        <v>0</v>
      </c>
      <c r="H67" s="34"/>
      <c r="I67" s="64">
        <v>0</v>
      </c>
      <c r="J67" s="54">
        <f>+IF(I$44=0," -- %",I67/I$44)</f>
        <v>0</v>
      </c>
      <c r="K67" s="34"/>
      <c r="L67" s="64">
        <v>0</v>
      </c>
      <c r="M67" s="54">
        <f>+IF(L$44=0," -- %",L67/L$44)</f>
        <v>0</v>
      </c>
    </row>
    <row r="68" spans="1:17">
      <c r="F68" s="60"/>
      <c r="I68" s="60"/>
      <c r="L68" s="60"/>
    </row>
    <row r="69" spans="1:17">
      <c r="A69" s="26" t="s">
        <v>18</v>
      </c>
      <c r="B69" s="32" t="s">
        <v>170</v>
      </c>
      <c r="C69" s="33"/>
      <c r="D69" s="33"/>
      <c r="E69" s="34"/>
      <c r="F69" s="64">
        <f>+'2 Financiación'!F13-'B Pérdidas y Ganancias'!F22</f>
        <v>42564.262499999997</v>
      </c>
      <c r="G69" s="47">
        <f>+IF(F$44=0," -- %",F69/F$44)</f>
        <v>0.72467983982129414</v>
      </c>
      <c r="H69" s="34"/>
      <c r="I69" s="64">
        <f>+'2 Financiación'!F15+'2 Financiación'!F16+'2 Financiación'!I15+'2 Financiación'!I16-'B Pérdidas y Ganancias'!F22-'B Pérdidas y Ganancias'!I22</f>
        <v>81750.145000000004</v>
      </c>
      <c r="J69" s="47">
        <f>+IF(I$44=0," -- %",I69/I$44)</f>
        <v>0.53802990917809435</v>
      </c>
      <c r="K69" s="34"/>
      <c r="L69" s="64">
        <f>+'2 Financiación'!F15+'2 Financiación'!F16+'2 Financiación'!I15+'2 Financiación'!I16+'2 Financiación'!L15+'2 Financiación'!L16-'B Pérdidas y Ganancias'!F22-'B Pérdidas y Ganancias'!I22-'B Pérdidas y Ganancias'!L22</f>
        <v>116223.42749999999</v>
      </c>
      <c r="M69" s="47">
        <f>+IF(L$44=0," -- %",L69/L$44)</f>
        <v>0.62664817595679412</v>
      </c>
    </row>
    <row r="70" spans="1:17">
      <c r="F70" s="60"/>
      <c r="I70" s="60"/>
      <c r="L70" s="60"/>
    </row>
    <row r="71" spans="1:17">
      <c r="A71" s="26" t="s">
        <v>12</v>
      </c>
      <c r="B71" s="27" t="s">
        <v>171</v>
      </c>
      <c r="C71" s="28"/>
      <c r="D71" s="28"/>
      <c r="E71" s="29"/>
      <c r="F71" s="30">
        <f>+F73+F75+F80+F82+F84</f>
        <v>16756.111393524403</v>
      </c>
      <c r="G71" s="31">
        <f>+IF(F$105=0," - %",F71/F$105)</f>
        <v>0.2451725170634213</v>
      </c>
      <c r="H71" s="29"/>
      <c r="I71" s="30">
        <f>+I73+I75+I80+I82+I84</f>
        <v>15471.701303344207</v>
      </c>
      <c r="J71" s="31">
        <f>+IF(I$105=0," - %",I71/I$105)</f>
        <v>8.9853440775204158E-2</v>
      </c>
      <c r="K71" s="29"/>
      <c r="L71" s="30">
        <f>(L73+L75+L80+L82+L84)</f>
        <v>14194.440512241001</v>
      </c>
      <c r="M71" s="31">
        <f>+IF(L$105=0," - %",L71/L$105)</f>
        <v>7.475081097055411E-2</v>
      </c>
      <c r="Q71" s="454"/>
    </row>
    <row r="72" spans="1:17">
      <c r="A72" s="26"/>
      <c r="B72" s="32"/>
      <c r="C72" s="33"/>
      <c r="D72" s="33"/>
      <c r="E72" s="34"/>
      <c r="F72" s="64"/>
      <c r="G72" s="36"/>
      <c r="H72" s="34"/>
      <c r="I72" s="64"/>
      <c r="J72" s="36"/>
      <c r="K72" s="34"/>
      <c r="L72" s="64"/>
      <c r="M72" s="36"/>
    </row>
    <row r="73" spans="1:17">
      <c r="A73" s="37" t="s">
        <v>6</v>
      </c>
      <c r="B73" s="68" t="s">
        <v>172</v>
      </c>
      <c r="C73" s="69"/>
      <c r="D73" s="69"/>
      <c r="E73" s="67"/>
      <c r="F73" s="70">
        <v>0</v>
      </c>
      <c r="G73" s="105">
        <f>+IF(F$71=0," -- %",F73/F$71)</f>
        <v>0</v>
      </c>
      <c r="H73" s="67"/>
      <c r="I73" s="70">
        <v>0</v>
      </c>
      <c r="J73" s="105">
        <f>+IF(I$71=0," -- %",I73/I$71)</f>
        <v>0</v>
      </c>
      <c r="K73" s="67"/>
      <c r="L73" s="70">
        <v>0</v>
      </c>
      <c r="M73" s="105">
        <f>+IF(L$71=0," -- %",L73/L$71)</f>
        <v>0</v>
      </c>
    </row>
    <row r="74" spans="1:17" s="33" customFormat="1">
      <c r="E74" s="79"/>
      <c r="F74" s="64"/>
      <c r="G74" s="66"/>
      <c r="H74" s="79"/>
      <c r="I74" s="64"/>
      <c r="J74" s="66"/>
      <c r="K74" s="79"/>
      <c r="L74" s="64"/>
      <c r="M74" s="66"/>
    </row>
    <row r="75" spans="1:17">
      <c r="A75" s="37" t="s">
        <v>7</v>
      </c>
      <c r="B75" s="38" t="s">
        <v>173</v>
      </c>
      <c r="C75" s="39"/>
      <c r="D75" s="39"/>
      <c r="E75" s="40"/>
      <c r="F75" s="41">
        <f>+SUM(F76:F78)</f>
        <v>16756.111393524403</v>
      </c>
      <c r="G75" s="42">
        <f>+IF(F$71=0," -- %",F75/F$71)</f>
        <v>1</v>
      </c>
      <c r="H75" s="40"/>
      <c r="I75" s="41">
        <f>+SUM(I76:I78)</f>
        <v>15471.701303344207</v>
      </c>
      <c r="J75" s="42">
        <f>+IF(I$71=0," -- %",I75/I$71)</f>
        <v>1</v>
      </c>
      <c r="K75" s="40"/>
      <c r="L75" s="41">
        <f>+SUM(L76:L78)</f>
        <v>14194.440512241001</v>
      </c>
      <c r="M75" s="42">
        <f>+IF(L$71=0," -- %",L75/L$71)</f>
        <v>1</v>
      </c>
      <c r="Q75" s="454"/>
    </row>
    <row r="76" spans="1:17" ht="14.25" thickBot="1">
      <c r="A76" s="43"/>
      <c r="B76" s="19">
        <v>1</v>
      </c>
      <c r="C76" s="19" t="s">
        <v>174</v>
      </c>
      <c r="F76" s="50">
        <f>('2 Financiación'!F20-SUM('Cálculo préstamo Año 1'!D20:D43))</f>
        <v>16756.111393524403</v>
      </c>
      <c r="G76" s="47">
        <f>+IF(F$75=0," -- %",F76/F$75)</f>
        <v>1</v>
      </c>
      <c r="I76" s="50">
        <f>('2 Financiación'!F20+'2 Financiación'!I20-SUM('Cálculo préstamo Año 1'!D20:D55)-SUM('Cálculo préstamo Año 2'!D20:D43))</f>
        <v>15471.701303344207</v>
      </c>
      <c r="J76" s="47">
        <f>+IF(I$75=0," -- %",I76/I$75)</f>
        <v>1</v>
      </c>
      <c r="L76" s="71">
        <f>('2 Financiación'!F20+'2 Financiación'!I20+'2 Financiación'!L20-SUM('Cálculo préstamo Año 1'!D20:D67)-SUM('Cálculo préstamo Año 2'!D20:D55)-SUM('Cálculo préstamo Año 3'!D20:D43))</f>
        <v>14194.440512241001</v>
      </c>
      <c r="M76" s="47">
        <f>+IF(L$75=0," -- %",L76/L$75)</f>
        <v>1</v>
      </c>
    </row>
    <row r="77" spans="1:17" ht="14.25" thickBot="1">
      <c r="B77" s="19">
        <v>2</v>
      </c>
      <c r="C77" s="19" t="s">
        <v>175</v>
      </c>
      <c r="F77" s="50"/>
      <c r="G77" s="47">
        <f>+IF(F$75=0," -- %",F77/F$75)</f>
        <v>0</v>
      </c>
      <c r="I77" s="50"/>
      <c r="J77" s="47">
        <f>+IF(I$75=0," -- %",I77/I$75)</f>
        <v>0</v>
      </c>
      <c r="L77" s="50"/>
      <c r="M77" s="47">
        <f>+IF(L$75=0," -- %",L77/L$75)</f>
        <v>0</v>
      </c>
    </row>
    <row r="78" spans="1:17" ht="14.25" thickBot="1">
      <c r="B78" s="19">
        <v>3</v>
      </c>
      <c r="C78" s="19" t="s">
        <v>176</v>
      </c>
      <c r="F78" s="50"/>
      <c r="G78" s="47">
        <f>+IF(F$75=0," -- %",F78/F$75)</f>
        <v>0</v>
      </c>
      <c r="I78" s="50"/>
      <c r="J78" s="47">
        <f>+IF(I$75=0," -- %",I78/I$75)</f>
        <v>0</v>
      </c>
      <c r="L78" s="50"/>
      <c r="M78" s="47">
        <f>+IF(L$75=0," -- %",L78/L$75)</f>
        <v>0</v>
      </c>
    </row>
    <row r="79" spans="1:17" s="33" customFormat="1">
      <c r="E79" s="79"/>
      <c r="F79" s="101"/>
      <c r="G79" s="54"/>
      <c r="H79" s="79"/>
      <c r="I79" s="101"/>
      <c r="J79" s="54"/>
      <c r="K79" s="79"/>
      <c r="L79" s="101"/>
      <c r="M79" s="54"/>
    </row>
    <row r="80" spans="1:17">
      <c r="A80" s="37" t="s">
        <v>8</v>
      </c>
      <c r="B80" s="102" t="s">
        <v>177</v>
      </c>
      <c r="C80" s="103"/>
      <c r="D80" s="103"/>
      <c r="E80" s="67"/>
      <c r="F80" s="110">
        <v>0</v>
      </c>
      <c r="G80" s="105">
        <f>+IF(F$71=0," -- %",F80/F$71)</f>
        <v>0</v>
      </c>
      <c r="H80" s="67"/>
      <c r="I80" s="110">
        <v>0</v>
      </c>
      <c r="J80" s="105">
        <f>+IF(I$71=0," -- %",I80/I$71)</f>
        <v>0</v>
      </c>
      <c r="K80" s="67"/>
      <c r="L80" s="110">
        <v>0</v>
      </c>
      <c r="M80" s="105">
        <f>+IF(L$71=0," -- %",L80/L$71)</f>
        <v>0</v>
      </c>
    </row>
    <row r="81" spans="1:17" s="33" customFormat="1">
      <c r="A81" s="100"/>
      <c r="E81" s="79"/>
      <c r="F81" s="64"/>
      <c r="G81" s="66"/>
      <c r="H81" s="79"/>
      <c r="I81" s="64"/>
      <c r="J81" s="66"/>
      <c r="K81" s="79"/>
      <c r="L81" s="64"/>
      <c r="M81" s="66"/>
    </row>
    <row r="82" spans="1:17">
      <c r="A82" s="37" t="s">
        <v>9</v>
      </c>
      <c r="B82" s="102" t="s">
        <v>178</v>
      </c>
      <c r="C82" s="103"/>
      <c r="D82" s="103"/>
      <c r="E82" s="104"/>
      <c r="F82" s="110">
        <v>0</v>
      </c>
      <c r="G82" s="105">
        <f>+IF(F$71=0," -- %",F82/F$71)</f>
        <v>0</v>
      </c>
      <c r="H82" s="104"/>
      <c r="I82" s="110">
        <v>0</v>
      </c>
      <c r="J82" s="105">
        <f>+IF(I$71=0," -- %",I82/I$71)</f>
        <v>0</v>
      </c>
      <c r="K82" s="104"/>
      <c r="L82" s="110">
        <v>0</v>
      </c>
      <c r="M82" s="105">
        <f>+IF(L$71=0," -- %",L82/L$71)</f>
        <v>0</v>
      </c>
    </row>
    <row r="83" spans="1:17" s="33" customFormat="1">
      <c r="A83" s="100"/>
      <c r="E83" s="79"/>
      <c r="F83" s="64"/>
      <c r="G83" s="66"/>
      <c r="H83" s="79"/>
      <c r="I83" s="64"/>
      <c r="J83" s="66"/>
      <c r="K83" s="79"/>
      <c r="L83" s="64"/>
      <c r="M83" s="66"/>
    </row>
    <row r="84" spans="1:17">
      <c r="A84" s="55" t="s">
        <v>10</v>
      </c>
      <c r="B84" s="102" t="s">
        <v>179</v>
      </c>
      <c r="C84" s="103"/>
      <c r="D84" s="103"/>
      <c r="E84" s="104"/>
      <c r="F84" s="110">
        <v>0</v>
      </c>
      <c r="G84" s="105">
        <f>+IF(F$71=0," -- %",F84/F$71)</f>
        <v>0</v>
      </c>
      <c r="H84" s="104"/>
      <c r="I84" s="110">
        <v>0</v>
      </c>
      <c r="J84" s="105">
        <f>+IF(I$71=0," -- %",I84/I$71)</f>
        <v>0</v>
      </c>
      <c r="K84" s="104"/>
      <c r="L84" s="110">
        <v>0</v>
      </c>
      <c r="M84" s="105">
        <f>+IF(L$71=0," -- %",L84/L$71)</f>
        <v>0</v>
      </c>
    </row>
    <row r="85" spans="1:17" s="33" customFormat="1">
      <c r="E85" s="79"/>
      <c r="F85" s="64"/>
      <c r="H85" s="79"/>
      <c r="I85" s="64"/>
      <c r="K85" s="79"/>
      <c r="L85" s="64"/>
    </row>
    <row r="86" spans="1:17">
      <c r="A86" s="26" t="s">
        <v>19</v>
      </c>
      <c r="B86" s="27" t="s">
        <v>180</v>
      </c>
      <c r="C86" s="28"/>
      <c r="D86" s="28"/>
      <c r="E86" s="29"/>
      <c r="F86" s="30">
        <f>+F88+F90+F92+F97+F99+F103</f>
        <v>-7147.2097175955359</v>
      </c>
      <c r="G86" s="31">
        <f>+IF(F$105=0," - %",F86/F$105)</f>
        <v>-0.10457673354452865</v>
      </c>
      <c r="H86" s="29"/>
      <c r="I86" s="30">
        <f>+I88+I90+I92+I97+I99+I103</f>
        <v>4772.9930300423293</v>
      </c>
      <c r="J86" s="31">
        <f>+IF(I$105=0," - %",I86/I$105)</f>
        <v>2.7719630707495009E-2</v>
      </c>
      <c r="K86" s="29"/>
      <c r="L86" s="30">
        <f>(L88+L90+L92+L97+L99+L103)</f>
        <v>-9772.7086217188971</v>
      </c>
      <c r="M86" s="31">
        <f>+IF(L$105=0," - %",L86/L$105)</f>
        <v>-5.1465071428664605E-2</v>
      </c>
      <c r="Q86" s="454"/>
    </row>
    <row r="87" spans="1:17">
      <c r="A87" s="26"/>
      <c r="B87" s="32"/>
      <c r="C87" s="33"/>
      <c r="D87" s="33"/>
      <c r="E87" s="34"/>
      <c r="F87" s="64"/>
      <c r="G87" s="36"/>
      <c r="H87" s="34"/>
      <c r="I87" s="64"/>
      <c r="J87" s="36"/>
      <c r="K87" s="34"/>
      <c r="L87" s="64"/>
      <c r="M87" s="36"/>
    </row>
    <row r="88" spans="1:17">
      <c r="A88" s="37" t="s">
        <v>6</v>
      </c>
      <c r="B88" s="102" t="s">
        <v>181</v>
      </c>
      <c r="C88" s="103"/>
      <c r="D88" s="103"/>
      <c r="E88" s="67"/>
      <c r="F88" s="107">
        <v>0</v>
      </c>
      <c r="G88" s="105">
        <f>+IF(F$86=0," -- %",F88/F$86)</f>
        <v>0</v>
      </c>
      <c r="H88" s="67"/>
      <c r="I88" s="107">
        <v>0</v>
      </c>
      <c r="J88" s="105">
        <f>+IF(I$86=0," -- %",I88/I$86)</f>
        <v>0</v>
      </c>
      <c r="K88" s="67"/>
      <c r="L88" s="107">
        <v>0</v>
      </c>
      <c r="M88" s="105">
        <f>+IF(L$86=0," -- %",L88/L$86)</f>
        <v>0</v>
      </c>
    </row>
    <row r="89" spans="1:17" s="33" customFormat="1">
      <c r="A89" s="100"/>
      <c r="E89" s="79"/>
      <c r="F89" s="64"/>
      <c r="G89" s="66"/>
      <c r="H89" s="79"/>
      <c r="I89" s="64"/>
      <c r="J89" s="66"/>
      <c r="K89" s="79"/>
      <c r="L89" s="64"/>
      <c r="M89" s="66"/>
    </row>
    <row r="90" spans="1:17">
      <c r="A90" s="37" t="s">
        <v>7</v>
      </c>
      <c r="B90" s="102" t="s">
        <v>182</v>
      </c>
      <c r="C90" s="103"/>
      <c r="D90" s="103"/>
      <c r="E90" s="104"/>
      <c r="F90" s="110">
        <f>+F91</f>
        <v>0</v>
      </c>
      <c r="G90" s="105">
        <f>+IF(F$86=0," -- %",F90/F$86)</f>
        <v>0</v>
      </c>
      <c r="H90" s="104"/>
      <c r="I90" s="110">
        <f>+I91</f>
        <v>0</v>
      </c>
      <c r="J90" s="105">
        <f>+IF(I$86=0," -- %",I90/I$86)</f>
        <v>0</v>
      </c>
      <c r="K90" s="104"/>
      <c r="L90" s="110">
        <f>+L91</f>
        <v>0</v>
      </c>
      <c r="M90" s="105">
        <f>+IF(L$86=0," -- %",L90/L$86)</f>
        <v>0</v>
      </c>
    </row>
    <row r="91" spans="1:17" s="33" customFormat="1">
      <c r="A91" s="100"/>
      <c r="E91" s="79"/>
      <c r="F91" s="64"/>
      <c r="G91" s="66"/>
      <c r="H91" s="79"/>
      <c r="I91" s="64"/>
      <c r="J91" s="66"/>
      <c r="K91" s="79"/>
      <c r="L91" s="64"/>
      <c r="M91" s="66"/>
    </row>
    <row r="92" spans="1:17">
      <c r="A92" s="37" t="s">
        <v>8</v>
      </c>
      <c r="B92" s="38" t="s">
        <v>183</v>
      </c>
      <c r="C92" s="39"/>
      <c r="D92" s="39"/>
      <c r="E92" s="67"/>
      <c r="F92" s="112">
        <f>+SUM(F93:F95)</f>
        <v>1662.4002824044646</v>
      </c>
      <c r="G92" s="42">
        <f>+IF(F$86=0," -- %",F92/F$86)</f>
        <v>-0.23259430576268711</v>
      </c>
      <c r="H92" s="67"/>
      <c r="I92" s="112">
        <f>+SUM(I93:I95)</f>
        <v>1809.7145821256631</v>
      </c>
      <c r="J92" s="42">
        <f>+IF(I$86=0," -- %",I92/I$86)</f>
        <v>0.37915718098369267</v>
      </c>
      <c r="K92" s="67"/>
      <c r="L92" s="112">
        <f>+SUM(L93:L95)</f>
        <v>2080.4038782811026</v>
      </c>
      <c r="M92" s="42">
        <f>+IF(L$86=0," -- %",L92/L$86)</f>
        <v>-0.21287894265645113</v>
      </c>
    </row>
    <row r="93" spans="1:17" ht="14.25" thickBot="1">
      <c r="B93" s="19">
        <v>1</v>
      </c>
      <c r="C93" s="19" t="s">
        <v>174</v>
      </c>
      <c r="F93" s="50">
        <f>+SUM('Cálculo préstamo Año 1'!D32:D43)</f>
        <v>1662.4002824044646</v>
      </c>
      <c r="G93" s="47">
        <f>+IF(F$92=0," -- %",F93/F$92)</f>
        <v>1</v>
      </c>
      <c r="I93" s="50">
        <f>+SUM('Cálculo préstamo Año 1'!D44:D55)+SUM('Cálculo préstamo Año 2'!D32:D43)</f>
        <v>1809.7145821256631</v>
      </c>
      <c r="J93" s="47">
        <f>+IF(I$92=0," -- %",I93/I$92)</f>
        <v>1</v>
      </c>
      <c r="L93" s="50">
        <f>(SUM('Cálculo préstamo Año 1'!D56:D67)+SUM('Cálculo préstamo Año 2'!D44:D55)+SUM('Cálculo préstamo Año 3'!D32:D43))</f>
        <v>2080.4038782811026</v>
      </c>
      <c r="M93" s="47">
        <f>+IF(L$92=0," -- %",L93/L$92)</f>
        <v>1</v>
      </c>
      <c r="Q93" s="454"/>
    </row>
    <row r="94" spans="1:17" ht="14.25" thickBot="1">
      <c r="B94" s="19">
        <v>2</v>
      </c>
      <c r="C94" s="19" t="s">
        <v>175</v>
      </c>
      <c r="F94" s="50"/>
      <c r="G94" s="47">
        <f>+IF(F$92=0," -- %",F94/F$92)</f>
        <v>0</v>
      </c>
      <c r="I94" s="50"/>
      <c r="J94" s="47">
        <f>+IF(I$92=0," -- %",I94/I$92)</f>
        <v>0</v>
      </c>
      <c r="L94" s="50"/>
      <c r="M94" s="47">
        <f>+IF(L$92=0," -- %",L94/L$92)</f>
        <v>0</v>
      </c>
    </row>
    <row r="95" spans="1:17" ht="14.25" thickBot="1">
      <c r="B95" s="19">
        <v>3</v>
      </c>
      <c r="C95" s="19" t="s">
        <v>176</v>
      </c>
      <c r="F95" s="50"/>
      <c r="G95" s="47">
        <f>+IF(F$92=0," -- %",F95/F$92)</f>
        <v>0</v>
      </c>
      <c r="I95" s="50"/>
      <c r="J95" s="47">
        <f>+IF(I$92=0," -- %",I95/I$92)</f>
        <v>0</v>
      </c>
      <c r="L95" s="50"/>
      <c r="M95" s="47">
        <f>+IF(L$92=0," -- %",L95/L$92)</f>
        <v>0</v>
      </c>
    </row>
    <row r="96" spans="1:17" s="33" customFormat="1">
      <c r="E96" s="79"/>
      <c r="F96" s="101"/>
      <c r="G96" s="54"/>
      <c r="H96" s="79"/>
      <c r="I96" s="101"/>
      <c r="J96" s="54"/>
      <c r="K96" s="79"/>
      <c r="L96" s="101"/>
      <c r="M96" s="54"/>
    </row>
    <row r="97" spans="1:17">
      <c r="A97" s="37" t="s">
        <v>9</v>
      </c>
      <c r="B97" s="102" t="s">
        <v>184</v>
      </c>
      <c r="C97" s="103"/>
      <c r="D97" s="103"/>
      <c r="E97" s="104"/>
      <c r="F97" s="110">
        <v>0</v>
      </c>
      <c r="G97" s="105">
        <f>+IF(F$86=0," -- %",F97/F$86)</f>
        <v>0</v>
      </c>
      <c r="H97" s="104"/>
      <c r="I97" s="110">
        <v>0</v>
      </c>
      <c r="J97" s="105">
        <f>+IF(I$86=0," -- %",I97/I$86)</f>
        <v>0</v>
      </c>
      <c r="K97" s="104"/>
      <c r="L97" s="110">
        <v>0</v>
      </c>
      <c r="M97" s="105">
        <f>+IF(L$86=0," -- %",L97/L$86)</f>
        <v>0</v>
      </c>
    </row>
    <row r="98" spans="1:17" s="33" customFormat="1">
      <c r="E98" s="79"/>
      <c r="F98" s="64"/>
      <c r="G98" s="66"/>
      <c r="H98" s="79"/>
      <c r="I98" s="64"/>
      <c r="J98" s="66"/>
      <c r="K98" s="79"/>
      <c r="L98" s="64"/>
      <c r="M98" s="66"/>
    </row>
    <row r="99" spans="1:17">
      <c r="A99" s="37" t="s">
        <v>10</v>
      </c>
      <c r="B99" s="38" t="s">
        <v>185</v>
      </c>
      <c r="C99" s="39"/>
      <c r="D99" s="39"/>
      <c r="E99" s="67"/>
      <c r="F99" s="112">
        <f>+F100+F101</f>
        <v>-8809.61</v>
      </c>
      <c r="G99" s="42">
        <f>+IF(F$86=0," -- %",F99/F$86)</f>
        <v>1.2325943057626871</v>
      </c>
      <c r="H99" s="67"/>
      <c r="I99" s="112">
        <f>+I100+I101</f>
        <v>2963.2784479166658</v>
      </c>
      <c r="J99" s="42">
        <f>+IF(I$86=0," -- %",I99/I$86)</f>
        <v>0.62084281901630722</v>
      </c>
      <c r="K99" s="67"/>
      <c r="L99" s="112">
        <f>+L100+L101</f>
        <v>-11853.112499999999</v>
      </c>
      <c r="M99" s="42">
        <f>+IF(L$86=0," -- %",L99/L$86)</f>
        <v>1.212878942656451</v>
      </c>
    </row>
    <row r="100" spans="1:17" ht="14.25" thickBot="1">
      <c r="B100" s="19">
        <v>1</v>
      </c>
      <c r="C100" s="19" t="s">
        <v>186</v>
      </c>
      <c r="F100" s="50">
        <f>+SUM('A Tesorería'!Q28:T28,'A Tesorería'!Q35:T35,'A Tesorería'!Q42:T42)+SUM('A Tesorería'!Q57:T57,'A Tesorería'!Q64:T64,'A Tesorería'!Q71:T71,'A Tesorería'!Q82:T82,'A Tesorería'!Q91:T91)</f>
        <v>599.72</v>
      </c>
      <c r="G100" s="47">
        <f>+IF(F$99=0," -- %",F100/F$99)</f>
        <v>-6.8075658286802704E-2</v>
      </c>
      <c r="I100" s="50">
        <f>+'A Tesorería'!Z28+'A Tesorería'!Z35+'A Tesorería'!Z42+'A Tesorería'!Z55+'A Tesorería'!Z57+'A Tesorería'!Z64+'A Tesorería'!Z71+'A Tesorería'!Z78+'A Tesorería'!Z80+'A Tesorería'!Z82+'A Tesorería'!Z89+'A Tesorería'!Z91</f>
        <v>669.67499999999995</v>
      </c>
      <c r="J100" s="47">
        <f>+IF(I$99=0," -- %",I100/I$99)</f>
        <v>0.22599124981684232</v>
      </c>
      <c r="L100" s="50">
        <f>('A Tesorería'!AC28+'A Tesorería'!AC35+'A Tesorería'!AC42)+('A Tesorería'!AC57+'A Tesorería'!AC64+'A Tesorería'!AC71+'A Tesorería'!AC78+'A Tesorería'!AC80+'A Tesorería'!AC82+'A Tesorería'!AC89+'A Tesorería'!AC91+'A Tesorería'!AC55)</f>
        <v>1004.5125</v>
      </c>
      <c r="M100" s="47">
        <f>+IF(L$99=0," -- %",L100/L$99)</f>
        <v>-8.4746727916401712E-2</v>
      </c>
    </row>
    <row r="101" spans="1:17" ht="14.25" thickBot="1">
      <c r="B101" s="19">
        <v>2</v>
      </c>
      <c r="C101" s="19" t="s">
        <v>187</v>
      </c>
      <c r="F101" s="50">
        <f>+SUM('A Tesorería'!Q49:T49)+SUM('A Tesorería'!Q53:T53)+'A Tesorería'!W110+SUM('A Tesorería'!Q51)+'A Tesorería'!W108+'6 Liquidación IVA'!L31</f>
        <v>-9409.33</v>
      </c>
      <c r="G101" s="47">
        <f>+IF(F$99=0," -- %",F101/F$99)</f>
        <v>1.0680756582868027</v>
      </c>
      <c r="I101" s="50">
        <f>+'A Tesorería'!Z49+'A Tesorería'!Z53+'A Tesorería'!Z110+'A Tesorería'!Z51+'6 Liquidación IVA'!O31</f>
        <v>2293.603447916666</v>
      </c>
      <c r="J101" s="47">
        <f>+IF(I$99=0," -- %",I101/I$99)</f>
        <v>0.77400875018315773</v>
      </c>
      <c r="L101" s="50">
        <f>+'A Tesorería'!AC49+'A Tesorería'!AC53+'A Tesorería'!AC110+'A Tesorería'!AC51+'6 Liquidación IVA'!R31</f>
        <v>-12857.625</v>
      </c>
      <c r="M101" s="47">
        <f>+IF(L$99=0," -- %",L101/L$99)</f>
        <v>1.0847467279164018</v>
      </c>
      <c r="Q101" s="454"/>
    </row>
    <row r="102" spans="1:17" s="33" customFormat="1">
      <c r="E102" s="79"/>
      <c r="F102" s="101"/>
      <c r="G102" s="54"/>
      <c r="H102" s="79"/>
      <c r="I102" s="101"/>
      <c r="J102" s="54"/>
      <c r="K102" s="79"/>
      <c r="L102" s="101"/>
      <c r="M102" s="54"/>
    </row>
    <row r="103" spans="1:17">
      <c r="A103" s="37" t="s">
        <v>11</v>
      </c>
      <c r="B103" s="38" t="s">
        <v>188</v>
      </c>
      <c r="C103" s="39"/>
      <c r="D103" s="39"/>
      <c r="E103" s="40"/>
      <c r="F103" s="109">
        <v>0</v>
      </c>
      <c r="G103" s="42">
        <f>+IF(F$86=0," -- %",F103/F$86)</f>
        <v>0</v>
      </c>
      <c r="H103" s="40"/>
      <c r="I103" s="109">
        <v>0</v>
      </c>
      <c r="J103" s="42">
        <f>+IF(I$86=0," -- %",I103/I$86)</f>
        <v>0</v>
      </c>
      <c r="K103" s="40"/>
      <c r="L103" s="109">
        <v>0</v>
      </c>
      <c r="M103" s="42">
        <f>+IF(L$86=0," -- %",L103/L$86)</f>
        <v>0</v>
      </c>
    </row>
    <row r="104" spans="1:17" ht="14.25" thickBot="1">
      <c r="B104" s="24"/>
      <c r="C104" s="24"/>
      <c r="D104" s="24"/>
      <c r="E104" s="61"/>
      <c r="F104" s="62"/>
      <c r="G104" s="24"/>
      <c r="H104" s="61"/>
      <c r="I104" s="62"/>
      <c r="J104" s="24"/>
      <c r="K104" s="61"/>
      <c r="L104" s="62"/>
      <c r="M104" s="24"/>
    </row>
    <row r="105" spans="1:17" ht="14.25" thickTop="1">
      <c r="B105" s="18" t="s">
        <v>189</v>
      </c>
      <c r="F105" s="58">
        <f>+F44+F71+F86</f>
        <v>68344.166769678865</v>
      </c>
      <c r="G105" s="47">
        <f>+IF(F$105=0," -- %",F105/F$105)</f>
        <v>1</v>
      </c>
      <c r="I105" s="58">
        <f>(I44+I71+I86)</f>
        <v>172188.18967713654</v>
      </c>
      <c r="J105" s="47">
        <f>+IF(I$105=0," -- %",I105/I$105)</f>
        <v>1</v>
      </c>
      <c r="L105" s="58">
        <f>(L44+L71+L86)</f>
        <v>189890.12062802212</v>
      </c>
      <c r="M105" s="47">
        <f>+IF(L$105=0," -- %",L105/L$105)</f>
        <v>1</v>
      </c>
    </row>
    <row r="106" spans="1:17">
      <c r="I106" s="72"/>
    </row>
    <row r="107" spans="1:17">
      <c r="F107" s="73"/>
      <c r="I107" s="73"/>
      <c r="L107" s="73"/>
    </row>
    <row r="108" spans="1:17">
      <c r="F108" s="72"/>
      <c r="I108" s="72"/>
      <c r="L108" s="72"/>
    </row>
    <row r="110" spans="1:17">
      <c r="L110" s="73"/>
    </row>
  </sheetData>
  <sheetProtection formatCells="0" formatColumns="0" formatRows="0" insertColumns="0" insertRows="0" insertHyperlinks="0" deleteColumns="0" deleteRows="0" sort="0" autoFilter="0" pivotTables="0"/>
  <mergeCells count="7">
    <mergeCell ref="B1:C1"/>
    <mergeCell ref="L5:M5"/>
    <mergeCell ref="L42:M42"/>
    <mergeCell ref="F5:G5"/>
    <mergeCell ref="F42:G42"/>
    <mergeCell ref="I5:J5"/>
    <mergeCell ref="I42:J42"/>
  </mergeCells>
  <phoneticPr fontId="2" type="noConversion"/>
  <pageMargins left="0.25" right="0.43307086614173229" top="0.35433070866141736" bottom="0.37" header="0" footer="0"/>
  <pageSetup paperSize="9" scale="89" orientation="landscape" horizontalDpi="300" verticalDpi="300" r:id="rId1"/>
  <headerFooter alignWithMargins="0"/>
  <rowBreaks count="2" manualBreakCount="2">
    <brk id="41" max="16383" man="1"/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 enableFormatConditionsCalculation="0">
    <tabColor indexed="23"/>
  </sheetPr>
  <dimension ref="A1:N77"/>
  <sheetViews>
    <sheetView showGridLines="0" tabSelected="1" workbookViewId="0">
      <pane xSplit="1" ySplit="6" topLeftCell="F56" activePane="bottomRight" state="frozen"/>
      <selection pane="topRight"/>
      <selection pane="bottomLeft"/>
      <selection pane="bottomRight" activeCell="N57" sqref="N57"/>
    </sheetView>
  </sheetViews>
  <sheetFormatPr baseColWidth="10" defaultColWidth="11.5703125" defaultRowHeight="13.5"/>
  <cols>
    <col min="1" max="1" width="32.7109375" style="423" customWidth="1"/>
    <col min="2" max="2" width="41.140625" style="423" customWidth="1"/>
    <col min="3" max="3" width="14.85546875" style="423" customWidth="1"/>
    <col min="4" max="5" width="0" style="423" hidden="1" customWidth="1"/>
    <col min="6" max="6" width="14.42578125" style="423" customWidth="1"/>
    <col min="7" max="8" width="2.140625" style="423" hidden="1" customWidth="1"/>
    <col min="9" max="9" width="13.7109375" style="423" bestFit="1" customWidth="1"/>
    <col min="10" max="10" width="1.140625" style="424" customWidth="1"/>
    <col min="11" max="11" width="19.7109375" style="423" customWidth="1"/>
    <col min="12" max="12" width="17" style="423" customWidth="1"/>
    <col min="13" max="13" width="17.5703125" style="423" customWidth="1"/>
    <col min="14" max="14" width="39.28515625" style="423" customWidth="1"/>
    <col min="15" max="16384" width="11.5703125" style="423"/>
  </cols>
  <sheetData>
    <row r="1" spans="1:14">
      <c r="A1" s="411" t="str">
        <f>+'C Balance'!B1</f>
        <v>ALFA</v>
      </c>
    </row>
    <row r="3" spans="1:14">
      <c r="A3" s="422" t="s">
        <v>209</v>
      </c>
    </row>
    <row r="6" spans="1:14">
      <c r="C6" s="412">
        <f>+'C Balance'!F5</f>
        <v>2014</v>
      </c>
      <c r="D6" s="412"/>
      <c r="E6" s="412"/>
      <c r="F6" s="412">
        <f>+'C Balance'!I5</f>
        <v>2015</v>
      </c>
      <c r="G6" s="412"/>
      <c r="H6" s="412"/>
      <c r="I6" s="412">
        <f>+'C Balance'!L5</f>
        <v>2016</v>
      </c>
      <c r="J6" s="425"/>
      <c r="K6" s="422" t="s">
        <v>211</v>
      </c>
    </row>
    <row r="7" spans="1:14">
      <c r="A7" s="422" t="s">
        <v>210</v>
      </c>
      <c r="C7" s="412"/>
      <c r="D7" s="412"/>
      <c r="E7" s="412"/>
      <c r="F7" s="412"/>
      <c r="G7" s="412"/>
      <c r="H7" s="412"/>
      <c r="I7" s="412"/>
      <c r="J7" s="426"/>
    </row>
    <row r="8" spans="1:14">
      <c r="A8" s="422"/>
      <c r="C8" s="412"/>
      <c r="D8" s="412"/>
      <c r="E8" s="412"/>
      <c r="F8" s="412"/>
      <c r="G8" s="412"/>
      <c r="H8" s="412"/>
      <c r="I8" s="412"/>
      <c r="J8" s="426"/>
    </row>
    <row r="9" spans="1:14" ht="14.25">
      <c r="A9" s="427" t="s">
        <v>210</v>
      </c>
      <c r="B9" s="428" t="s">
        <v>313</v>
      </c>
      <c r="C9" s="432">
        <f>+'C Balance'!F21-'C Balance'!F86</f>
        <v>37795.71218634554</v>
      </c>
      <c r="D9" s="432"/>
      <c r="E9" s="432"/>
      <c r="F9" s="432">
        <f>+'C Balance'!I21-'C Balance'!I86</f>
        <v>111666.53234616536</v>
      </c>
      <c r="G9" s="432"/>
      <c r="H9" s="432"/>
      <c r="I9" s="432">
        <f>+'C Balance'!L21-'C Balance'!L86</f>
        <v>146509.82862171889</v>
      </c>
      <c r="J9" s="429"/>
      <c r="K9" s="496"/>
      <c r="L9" s="497"/>
      <c r="M9" s="497"/>
      <c r="N9" s="498"/>
    </row>
    <row r="10" spans="1:14" ht="14.25">
      <c r="C10" s="430"/>
      <c r="D10" s="430"/>
      <c r="E10" s="430"/>
      <c r="F10" s="430"/>
      <c r="G10" s="430"/>
      <c r="H10" s="430"/>
      <c r="I10" s="430"/>
      <c r="K10" s="431"/>
      <c r="L10" s="431"/>
      <c r="M10" s="431"/>
      <c r="N10" s="431"/>
    </row>
    <row r="11" spans="1:14" ht="14.25">
      <c r="A11" s="422" t="s">
        <v>259</v>
      </c>
      <c r="C11" s="430"/>
      <c r="D11" s="430"/>
      <c r="E11" s="430"/>
      <c r="F11" s="430"/>
      <c r="G11" s="430"/>
      <c r="H11" s="430"/>
      <c r="I11" s="430"/>
      <c r="K11" s="431"/>
      <c r="L11" s="431"/>
      <c r="M11" s="431"/>
      <c r="N11" s="431"/>
    </row>
    <row r="12" spans="1:14" ht="14.25">
      <c r="C12" s="430"/>
      <c r="D12" s="430"/>
      <c r="E12" s="430"/>
      <c r="F12" s="430"/>
      <c r="G12" s="430"/>
      <c r="H12" s="430"/>
      <c r="I12" s="430"/>
      <c r="K12" s="431"/>
      <c r="L12" s="431"/>
      <c r="M12" s="431"/>
      <c r="N12" s="431"/>
    </row>
    <row r="13" spans="1:14" ht="14.25">
      <c r="A13" s="427" t="s">
        <v>259</v>
      </c>
      <c r="B13" s="428" t="s">
        <v>314</v>
      </c>
      <c r="C13" s="432">
        <f>IF('C Balance'!F86=0,"--",'C Balance'!F21/'C Balance'!F86)</f>
        <v>-4.2881772999184884</v>
      </c>
      <c r="D13" s="432"/>
      <c r="E13" s="432"/>
      <c r="F13" s="432">
        <f>IF('C Balance'!I86=0,"--",'C Balance'!I21/'C Balance'!I86)</f>
        <v>24.395494534207405</v>
      </c>
      <c r="G13" s="432"/>
      <c r="H13" s="432"/>
      <c r="I13" s="432">
        <f>IF('C Balance'!L86=0,"--",'C Balance'!L21/'C Balance'!L86)</f>
        <v>-13.991732005200177</v>
      </c>
      <c r="J13" s="433"/>
      <c r="K13" s="494"/>
      <c r="L13" s="494"/>
      <c r="M13" s="494"/>
      <c r="N13" s="494"/>
    </row>
    <row r="14" spans="1:14" ht="14.25">
      <c r="A14" s="427" t="s">
        <v>229</v>
      </c>
      <c r="B14" s="428" t="s">
        <v>311</v>
      </c>
      <c r="C14" s="432">
        <f>IF('C Balance'!F86=0,"--",('C Balance'!F21-'C Balance'!F25)/'C Balance'!F86)</f>
        <v>-4.2881772999184884</v>
      </c>
      <c r="D14" s="432"/>
      <c r="E14" s="432"/>
      <c r="F14" s="432">
        <f>IF('C Balance'!I86=0,"--",('C Balance'!I21-'C Balance'!I25)/'C Balance'!I86)</f>
        <v>24.395494534207405</v>
      </c>
      <c r="G14" s="432"/>
      <c r="H14" s="432"/>
      <c r="I14" s="432">
        <f>IF('C Balance'!L86=0,"--",('C Balance'!L21-'C Balance'!L25)/'C Balance'!L86)</f>
        <v>-13.991732005200177</v>
      </c>
      <c r="J14" s="433"/>
      <c r="K14" s="494"/>
      <c r="L14" s="494"/>
      <c r="M14" s="494"/>
      <c r="N14" s="494"/>
    </row>
    <row r="15" spans="1:14" ht="14.25">
      <c r="A15" s="427" t="s">
        <v>260</v>
      </c>
      <c r="B15" s="428" t="s">
        <v>310</v>
      </c>
      <c r="C15" s="432">
        <f>IF('C Balance'!F86=0,"--",'C Balance'!F38/'C Balance'!F86)</f>
        <v>-3.6509590499015889</v>
      </c>
      <c r="D15" s="432"/>
      <c r="E15" s="432"/>
      <c r="F15" s="432">
        <f>IF('C Balance'!I86=0,"--",'C Balance'!I38/'C Balance'!I86)</f>
        <v>21.31319378342053</v>
      </c>
      <c r="G15" s="432"/>
      <c r="H15" s="432"/>
      <c r="I15" s="432">
        <f>IF('C Balance'!L86=0,"--",'C Balance'!L38/'C Balance'!L86)</f>
        <v>-12.193455220133634</v>
      </c>
      <c r="J15" s="433"/>
      <c r="K15" s="494"/>
      <c r="L15" s="494"/>
      <c r="M15" s="494"/>
      <c r="N15" s="494"/>
    </row>
    <row r="16" spans="1:14" ht="14.25">
      <c r="A16" s="427" t="s">
        <v>261</v>
      </c>
      <c r="C16" s="432">
        <f>IF('B Pérdidas y Ganancias'!F6=0,"--",C9/'B Pérdidas y Ganancias'!F6)</f>
        <v>3.8293528051008652</v>
      </c>
      <c r="D16" s="430"/>
      <c r="E16" s="430"/>
      <c r="F16" s="432">
        <f>IF('B Pérdidas y Ganancias'!I6=0,"--",F9/'B Pérdidas y Ganancias'!I6)</f>
        <v>1.5239376642260711</v>
      </c>
      <c r="G16" s="432"/>
      <c r="H16" s="432"/>
      <c r="I16" s="432">
        <f>IF('B Pérdidas y Ganancias'!L6=0,"--",I9/'B Pérdidas y Ganancias'!L6)</f>
        <v>7.354911075387494</v>
      </c>
      <c r="J16" s="433"/>
      <c r="K16" s="494"/>
      <c r="L16" s="494"/>
      <c r="M16" s="494"/>
      <c r="N16" s="494"/>
    </row>
    <row r="17" spans="1:14" ht="14.25">
      <c r="A17" s="427" t="s">
        <v>262</v>
      </c>
      <c r="C17" s="432">
        <f>IF('C Balance'!F40=0,"--",C9/'C Balance'!F40)</f>
        <v>0.55302030842980066</v>
      </c>
      <c r="D17" s="430"/>
      <c r="E17" s="430"/>
      <c r="F17" s="432">
        <f>IF('C Balance'!I40=0,"--",F9/'C Balance'!I40)</f>
        <v>0.64851446870744722</v>
      </c>
      <c r="G17" s="432"/>
      <c r="H17" s="432"/>
      <c r="I17" s="432">
        <f>IF('C Balance'!L40=0,"--",I9/'C Balance'!L40)</f>
        <v>0.77155055848702436</v>
      </c>
      <c r="J17" s="433"/>
      <c r="K17" s="494"/>
      <c r="L17" s="494"/>
      <c r="M17" s="494"/>
      <c r="N17" s="494"/>
    </row>
    <row r="18" spans="1:14" ht="14.25">
      <c r="C18" s="430"/>
      <c r="D18" s="430"/>
      <c r="E18" s="430"/>
      <c r="F18" s="430"/>
      <c r="G18" s="430"/>
      <c r="H18" s="430"/>
      <c r="I18" s="430"/>
      <c r="J18" s="434"/>
      <c r="K18" s="435"/>
      <c r="L18" s="435"/>
      <c r="M18" s="435"/>
      <c r="N18" s="435"/>
    </row>
    <row r="19" spans="1:14" ht="14.25">
      <c r="A19" s="422" t="s">
        <v>263</v>
      </c>
      <c r="C19" s="430"/>
      <c r="D19" s="430"/>
      <c r="E19" s="430"/>
      <c r="F19" s="430"/>
      <c r="G19" s="430"/>
      <c r="H19" s="430"/>
      <c r="I19" s="430"/>
      <c r="J19" s="434"/>
      <c r="K19" s="435"/>
      <c r="L19" s="435"/>
      <c r="M19" s="435"/>
      <c r="N19" s="435"/>
    </row>
    <row r="20" spans="1:14" ht="14.25">
      <c r="C20" s="430"/>
      <c r="D20" s="430"/>
      <c r="E20" s="430"/>
      <c r="F20" s="430"/>
      <c r="G20" s="430"/>
      <c r="H20" s="430"/>
      <c r="I20" s="430"/>
      <c r="J20" s="434"/>
      <c r="K20" s="435"/>
      <c r="L20" s="435"/>
      <c r="M20" s="435"/>
      <c r="N20" s="435"/>
    </row>
    <row r="21" spans="1:14" ht="14.25">
      <c r="A21" s="427" t="s">
        <v>263</v>
      </c>
      <c r="B21" s="428" t="s">
        <v>312</v>
      </c>
      <c r="C21" s="432">
        <f>IF('C Balance'!F105=0,"--",('C Balance'!F71+'C Balance'!F86)/'C Balance'!F105)</f>
        <v>0.14059578351889268</v>
      </c>
      <c r="D21" s="430"/>
      <c r="E21" s="430"/>
      <c r="F21" s="432">
        <f>IF('C Balance'!I105=0,"--",('C Balance'!I71+'C Balance'!I86)/'C Balance'!I105)</f>
        <v>0.11757307148269915</v>
      </c>
      <c r="G21" s="432"/>
      <c r="H21" s="432"/>
      <c r="I21" s="432">
        <f>IF('C Balance'!L105=0,"--",('C Balance'!L71+'C Balance'!L86)/'C Balance'!L105)</f>
        <v>2.3285739541889509E-2</v>
      </c>
      <c r="J21" s="433"/>
      <c r="K21" s="494"/>
      <c r="L21" s="494"/>
      <c r="M21" s="494"/>
      <c r="N21" s="494"/>
    </row>
    <row r="22" spans="1:14" ht="14.25">
      <c r="A22" s="427" t="s">
        <v>264</v>
      </c>
      <c r="B22" s="428" t="s">
        <v>35</v>
      </c>
      <c r="C22" s="432">
        <f>IF(('C Balance'!F71+'C Balance'!F86)=0,"--",'C Balance'!F71/('C Balance'!F71+'C Balance'!F86))</f>
        <v>1.7438113073318167</v>
      </c>
      <c r="D22" s="432"/>
      <c r="E22" s="432"/>
      <c r="F22" s="432">
        <f>IF(('C Balance'!I71+'C Balance'!I86)=0,"--",'C Balance'!I71/('C Balance'!I71+'C Balance'!I86))</f>
        <v>0.76423486808734142</v>
      </c>
      <c r="G22" s="432"/>
      <c r="H22" s="432"/>
      <c r="I22" s="432">
        <f>IF(('C Balance'!L71+'C Balance'!L86)=0,"--",'C Balance'!L71/('C Balance'!L71+'C Balance'!L86))</f>
        <v>3.2101540445422545</v>
      </c>
      <c r="J22" s="433"/>
      <c r="K22" s="494"/>
      <c r="L22" s="494"/>
      <c r="M22" s="494"/>
      <c r="N22" s="494"/>
    </row>
    <row r="23" spans="1:14" ht="14.25">
      <c r="A23" s="427" t="s">
        <v>265</v>
      </c>
      <c r="B23" s="428" t="s">
        <v>309</v>
      </c>
      <c r="C23" s="432">
        <f>IF(('C Balance'!F71+'C Balance'!F86)=0,"--",('B Pérdidas y Ganancias'!F46-'B Pérdidas y Ganancias'!F20)/('C Balance'!F71+'C Balance'!F86))</f>
        <v>0.98974224607871153</v>
      </c>
      <c r="D23" s="430"/>
      <c r="E23" s="430"/>
      <c r="F23" s="432">
        <f>IF(('C Balance'!I71+'C Balance'!I86)=0,"--",('B Pérdidas y Ganancias'!I46-'B Pérdidas y Ganancias'!I20)/('C Balance'!I71+'C Balance'!I86))</f>
        <v>3.4102934138226093</v>
      </c>
      <c r="G23" s="432"/>
      <c r="H23" s="432"/>
      <c r="I23" s="432">
        <f>IF(('C Balance'!L71+'C Balance'!L86)=0,"--",('B Pérdidas y Ganancias'!L46-'B Pérdidas y Ganancias'!L20)/('C Balance'!L71+'C Balance'!L86))</f>
        <v>7.859878984275773</v>
      </c>
      <c r="J23" s="433"/>
      <c r="K23" s="494"/>
      <c r="L23" s="494"/>
      <c r="M23" s="494"/>
      <c r="N23" s="494"/>
    </row>
    <row r="24" spans="1:14" ht="14.25">
      <c r="A24" s="427" t="s">
        <v>266</v>
      </c>
      <c r="B24" s="428" t="s">
        <v>308</v>
      </c>
      <c r="C24" s="432">
        <f>IF('B Pérdidas y Ganancias'!F32=0,"--",'B Pérdidas y Ganancias'!F28/-'B Pérdidas y Ganancias'!F32)</f>
        <v>-4.2955236829500141</v>
      </c>
      <c r="D24" s="430"/>
      <c r="E24" s="430"/>
      <c r="F24" s="432">
        <f>IF('B Pérdidas y Ganancias'!I32=0,"--",'B Pérdidas y Ganancias'!I28/-'B Pérdidas y Ganancias'!I32)</f>
        <v>21.397317809044633</v>
      </c>
      <c r="G24" s="432"/>
      <c r="H24" s="432"/>
      <c r="I24" s="432">
        <f>IF('B Pérdidas y Ganancias'!L32=0,"--",'B Pérdidas y Ganancias'!L28/-'B Pérdidas y Ganancias'!L32)</f>
        <v>-59.705899110072302</v>
      </c>
      <c r="J24" s="433"/>
      <c r="K24" s="494"/>
      <c r="L24" s="494"/>
      <c r="M24" s="494"/>
      <c r="N24" s="494"/>
    </row>
    <row r="25" spans="1:14" ht="14.25">
      <c r="A25" s="427" t="s">
        <v>267</v>
      </c>
      <c r="B25" s="428" t="s">
        <v>306</v>
      </c>
      <c r="C25" s="432">
        <f>IF(('Cálculo préstamo Año 1'!E31+'Cálculo préstamo Año 2'!E31+'Cálculo préstamo Año 3'!E31)=0,"--",'B Pérdidas y Ganancias'!F28/('Cálculo préstamo Año 1'!E31+'Cálculo préstamo Año 2'!E31+'Cálculo préstamo Año 3'!E31))</f>
        <v>-2.2956153190278288</v>
      </c>
      <c r="D25" s="430"/>
      <c r="E25" s="430"/>
      <c r="F25" s="432">
        <f>IF(('Cálculo préstamo Año 1'!E43-'Cálculo préstamo Año 1'!E31+'Cálculo préstamo Año 2'!E43-'Cálculo préstamo Año 2'!E31+'Cálculo préstamo Año 3'!E43-'Cálculo préstamo Año 3'!E31)=0,"--",'B Pérdidas y Ganancias'!I28/('Cálculo préstamo Año 1'!E43-'Cálculo préstamo Año 1'!E31+'Cálculo préstamo Año 2'!E43-'Cálculo préstamo Año 2'!E31+'Cálculo préstamo Año 3'!E43-'Cálculo préstamo Año 3'!E31))</f>
        <v>10.311225714230311</v>
      </c>
      <c r="G25" s="432"/>
      <c r="H25" s="432"/>
      <c r="I25" s="432">
        <f>IF(('Cálculo préstamo Año 1'!E55-'Cálculo préstamo Año 1'!E43+'Cálculo préstamo Año 2'!E55-'Cálculo préstamo Año 2'!E43+'Cálculo préstamo Año 3'!E55-'Cálculo préstamo Año 3'!E43)=0,"--",'B Pérdidas y Ganancias'!L28/('Cálculo préstamo Año 1'!E55-'Cálculo préstamo Año 1'!E43+'Cálculo préstamo Año 2'!E55-'Cálculo préstamo Año 2'!E43+'Cálculo préstamo Año 3'!E55-'Cálculo préstamo Año 3'!E43))</f>
        <v>-26.772546031483987</v>
      </c>
      <c r="J25" s="433"/>
      <c r="K25" s="496"/>
      <c r="L25" s="497"/>
      <c r="M25" s="497"/>
      <c r="N25" s="498"/>
    </row>
    <row r="26" spans="1:14">
      <c r="C26" s="430"/>
      <c r="D26" s="430"/>
      <c r="E26" s="430"/>
      <c r="F26" s="430"/>
      <c r="G26" s="430"/>
      <c r="H26" s="430"/>
      <c r="I26" s="430"/>
    </row>
    <row r="27" spans="1:14" ht="14.25">
      <c r="C27" s="430"/>
      <c r="D27" s="430"/>
      <c r="E27" s="430"/>
      <c r="F27" s="430"/>
      <c r="G27" s="430"/>
      <c r="H27" s="430"/>
      <c r="I27" s="430"/>
      <c r="K27" s="435"/>
      <c r="L27" s="435"/>
      <c r="M27" s="435"/>
      <c r="N27" s="435"/>
    </row>
    <row r="28" spans="1:14" ht="14.25">
      <c r="A28" s="422" t="s">
        <v>268</v>
      </c>
      <c r="C28" s="430"/>
      <c r="D28" s="430"/>
      <c r="E28" s="430"/>
      <c r="F28" s="430"/>
      <c r="G28" s="430"/>
      <c r="H28" s="430"/>
      <c r="I28" s="430"/>
      <c r="K28" s="435"/>
      <c r="L28" s="435"/>
      <c r="M28" s="435"/>
      <c r="N28" s="435"/>
    </row>
    <row r="29" spans="1:14" ht="14.25">
      <c r="C29" s="430"/>
      <c r="D29" s="430"/>
      <c r="E29" s="430"/>
      <c r="F29" s="430"/>
      <c r="G29" s="430"/>
      <c r="H29" s="430"/>
      <c r="I29" s="430"/>
      <c r="K29" s="435"/>
      <c r="L29" s="435"/>
      <c r="M29" s="435"/>
      <c r="N29" s="435"/>
    </row>
    <row r="30" spans="1:14" ht="14.25">
      <c r="A30" s="427" t="s">
        <v>289</v>
      </c>
      <c r="B30" s="428" t="s">
        <v>307</v>
      </c>
      <c r="C30" s="432">
        <f>IF('C Balance'!F7=0,"--",'B Pérdidas y Ganancias'!F6/'C Balance'!F7)</f>
        <v>0.26183380936800865</v>
      </c>
      <c r="D30" s="430"/>
      <c r="E30" s="430"/>
      <c r="F30" s="432">
        <f>IF('C Balance'!I7=0,"--",'B Pérdidas y Ganancias'!I6/'C Balance'!I7)</f>
        <v>1.3143812109108739</v>
      </c>
      <c r="G30" s="432"/>
      <c r="H30" s="432"/>
      <c r="I30" s="432">
        <f>IF('C Balance'!L7=0,"--",'B Pérdidas y Ganancias'!L6/'C Balance'!L7)</f>
        <v>0.37476718153255695</v>
      </c>
      <c r="J30" s="433"/>
      <c r="K30" s="494"/>
      <c r="L30" s="494"/>
      <c r="M30" s="494"/>
      <c r="N30" s="494"/>
    </row>
    <row r="31" spans="1:14" ht="14.25">
      <c r="A31" s="427" t="s">
        <v>269</v>
      </c>
      <c r="B31" s="428" t="s">
        <v>305</v>
      </c>
      <c r="C31" s="432">
        <f>IF('C Balance'!F21=0,"--",'B Pérdidas y Ganancias'!F6/'C Balance'!F21)</f>
        <v>0.32203857301229333</v>
      </c>
      <c r="D31" s="430"/>
      <c r="E31" s="430"/>
      <c r="F31" s="432">
        <f>IF('C Balance'!I21=0,"--",'B Pérdidas y Ganancias'!I6/'C Balance'!I21)</f>
        <v>0.62929662211567572</v>
      </c>
      <c r="G31" s="432"/>
      <c r="H31" s="432"/>
      <c r="I31" s="432">
        <f>IF('C Balance'!L21=0,"--",'B Pérdidas y Ganancias'!L6/'C Balance'!L21)</f>
        <v>0.14568099723030586</v>
      </c>
      <c r="J31" s="433"/>
      <c r="K31" s="494"/>
      <c r="L31" s="494"/>
      <c r="M31" s="494"/>
      <c r="N31" s="494"/>
    </row>
    <row r="32" spans="1:14" ht="14.25">
      <c r="A32" s="427" t="s">
        <v>270</v>
      </c>
      <c r="B32" s="428" t="s">
        <v>304</v>
      </c>
      <c r="C32" s="432" t="str">
        <f>IF('C Balance'!F25=0,"--",'B Pérdidas y Ganancias'!F6/'C Balance'!F25)</f>
        <v>--</v>
      </c>
      <c r="D32" s="430"/>
      <c r="E32" s="430"/>
      <c r="F32" s="432" t="str">
        <f>IF('C Balance'!I25=0,"--",'B Pérdidas y Ganancias'!I6/'C Balance'!I25)</f>
        <v>--</v>
      </c>
      <c r="G32" s="432"/>
      <c r="H32" s="432"/>
      <c r="I32" s="432" t="str">
        <f>IF('C Balance'!L25=0,"--",'B Pérdidas y Ganancias'!L6/'C Balance'!L25)</f>
        <v>--</v>
      </c>
      <c r="J32" s="433"/>
      <c r="K32" s="494"/>
      <c r="L32" s="494"/>
      <c r="M32" s="494"/>
      <c r="N32" s="494"/>
    </row>
    <row r="33" spans="1:14">
      <c r="C33" s="430"/>
      <c r="D33" s="430"/>
      <c r="E33" s="430"/>
      <c r="F33" s="430"/>
      <c r="G33" s="430"/>
      <c r="H33" s="430"/>
      <c r="I33" s="430"/>
    </row>
    <row r="34" spans="1:14" ht="14.25">
      <c r="C34" s="430"/>
      <c r="D34" s="430"/>
      <c r="E34" s="430"/>
      <c r="F34" s="430"/>
      <c r="G34" s="430"/>
      <c r="H34" s="430"/>
      <c r="I34" s="430"/>
      <c r="K34" s="431"/>
      <c r="L34" s="435"/>
      <c r="M34" s="435"/>
      <c r="N34" s="435"/>
    </row>
    <row r="35" spans="1:14" ht="14.25">
      <c r="A35" s="422" t="s">
        <v>271</v>
      </c>
      <c r="C35" s="430"/>
      <c r="D35" s="430"/>
      <c r="E35" s="430"/>
      <c r="F35" s="430"/>
      <c r="G35" s="430"/>
      <c r="H35" s="430"/>
      <c r="I35" s="430"/>
      <c r="K35" s="435"/>
      <c r="L35" s="435"/>
      <c r="M35" s="435"/>
      <c r="N35" s="435"/>
    </row>
    <row r="36" spans="1:14" ht="14.25">
      <c r="C36" s="430"/>
      <c r="D36" s="430"/>
      <c r="E36" s="430"/>
      <c r="F36" s="430"/>
      <c r="G36" s="430"/>
      <c r="H36" s="430"/>
      <c r="I36" s="430"/>
      <c r="K36" s="435"/>
      <c r="L36" s="435"/>
      <c r="M36" s="435"/>
      <c r="N36" s="435"/>
    </row>
    <row r="37" spans="1:14" ht="14.25">
      <c r="A37" s="427" t="s">
        <v>272</v>
      </c>
      <c r="B37" s="428" t="s">
        <v>315</v>
      </c>
      <c r="C37" s="432">
        <f>+(C9/(-('B Pérdidas y Ganancias'!F12+'B Pérdidas y Ganancias'!F16+'B Pérdidas y Ganancias'!F18+'B Pérdidas y Ganancias'!F20))*365)</f>
        <v>758.01869746233115</v>
      </c>
      <c r="D37" s="430"/>
      <c r="E37" s="430"/>
      <c r="F37" s="432">
        <f>+(F9/(-('B Pérdidas y Ganancias'!I12+'B Pérdidas y Ganancias'!I16+'B Pérdidas y Ganancias'!I18+'B Pérdidas y Ganancias'!I20))*365)</f>
        <v>654.14207335093977</v>
      </c>
      <c r="G37" s="432"/>
      <c r="H37" s="432"/>
      <c r="I37" s="432">
        <f>+(I9/(-('B Pérdidas y Ganancias'!L12+'B Pérdidas y Ganancias'!L16+'B Pérdidas y Ganancias'!L18+'B Pérdidas y Ganancias'!L20))*365)</f>
        <v>617.23831567017487</v>
      </c>
      <c r="J37" s="433"/>
      <c r="K37" s="496"/>
      <c r="L37" s="497"/>
      <c r="M37" s="497"/>
      <c r="N37" s="498"/>
    </row>
    <row r="38" spans="1:14" ht="14.25">
      <c r="A38" s="427" t="s">
        <v>273</v>
      </c>
      <c r="B38" s="428" t="s">
        <v>302</v>
      </c>
      <c r="C38" s="432">
        <f>+('C Balance'!F25/'B Pérdidas y Ganancias'!F12)*365</f>
        <v>0</v>
      </c>
      <c r="D38" s="430"/>
      <c r="E38" s="430"/>
      <c r="F38" s="432">
        <f>+('C Balance'!I25/'B Pérdidas y Ganancias'!I12)*365</f>
        <v>0</v>
      </c>
      <c r="G38" s="432"/>
      <c r="H38" s="432"/>
      <c r="I38" s="432">
        <f>+('C Balance'!L25/'B Pérdidas y Ganancias'!L12)*365</f>
        <v>0</v>
      </c>
      <c r="J38" s="433"/>
      <c r="K38" s="494"/>
      <c r="L38" s="494"/>
      <c r="M38" s="494"/>
      <c r="N38" s="494"/>
    </row>
    <row r="39" spans="1:14" ht="14.25">
      <c r="A39" s="427" t="s">
        <v>274</v>
      </c>
      <c r="B39" s="428" t="s">
        <v>301</v>
      </c>
      <c r="C39" s="432">
        <f>+('C Balance'!F28/'B Pérdidas y Ganancias'!F6)*365</f>
        <v>121.22289766970619</v>
      </c>
      <c r="D39" s="430"/>
      <c r="E39" s="430"/>
      <c r="F39" s="432">
        <f>+('C Balance'!I28/'B Pérdidas y Ganancias'!I6)*365</f>
        <v>73.28293415216649</v>
      </c>
      <c r="G39" s="432"/>
      <c r="H39" s="432"/>
      <c r="I39" s="432">
        <f>+('C Balance'!L28/'B Pérdidas y Ganancias'!L6)*365</f>
        <v>71.911138303212851</v>
      </c>
      <c r="J39" s="433"/>
      <c r="K39" s="494"/>
      <c r="L39" s="494"/>
      <c r="M39" s="494"/>
      <c r="N39" s="494"/>
    </row>
    <row r="40" spans="1:14" ht="14.25">
      <c r="A40" s="427" t="s">
        <v>275</v>
      </c>
      <c r="B40" s="428" t="s">
        <v>303</v>
      </c>
      <c r="C40" s="432">
        <f>+('C Balance'!F100/(-'B Pérdidas y Ganancias'!F12))*365</f>
        <v>141.95706874189364</v>
      </c>
      <c r="D40" s="430"/>
      <c r="E40" s="430"/>
      <c r="F40" s="432">
        <f>+('C Balance'!I100/(-'B Pérdidas y Ganancias'!I12))*365</f>
        <v>105.67720492866407</v>
      </c>
      <c r="G40" s="432"/>
      <c r="H40" s="432"/>
      <c r="I40" s="432">
        <f>+('C Balance'!L100/(-'B Pérdidas y Ganancias'!L12))*365</f>
        <v>105.67720492866408</v>
      </c>
      <c r="J40" s="433"/>
      <c r="K40" s="494"/>
      <c r="L40" s="494"/>
      <c r="M40" s="494"/>
      <c r="N40" s="494"/>
    </row>
    <row r="41" spans="1:14" ht="14.25">
      <c r="C41" s="430"/>
      <c r="D41" s="430"/>
      <c r="E41" s="430"/>
      <c r="F41" s="430"/>
      <c r="G41" s="430"/>
      <c r="H41" s="430"/>
      <c r="I41" s="430"/>
      <c r="K41" s="435"/>
      <c r="L41" s="435"/>
      <c r="M41" s="435"/>
      <c r="N41" s="435"/>
    </row>
    <row r="42" spans="1:14" ht="14.25">
      <c r="A42" s="422" t="s">
        <v>276</v>
      </c>
      <c r="C42" s="430"/>
      <c r="D42" s="430"/>
      <c r="E42" s="430"/>
      <c r="F42" s="430"/>
      <c r="G42" s="430"/>
      <c r="H42" s="430"/>
      <c r="I42" s="430"/>
      <c r="K42" s="435"/>
      <c r="L42" s="435"/>
      <c r="M42" s="435"/>
      <c r="N42" s="435"/>
    </row>
    <row r="43" spans="1:14" ht="14.25">
      <c r="C43" s="430"/>
      <c r="D43" s="430"/>
      <c r="E43" s="430"/>
      <c r="F43" s="430"/>
      <c r="G43" s="430"/>
      <c r="H43" s="430"/>
      <c r="I43" s="430"/>
      <c r="K43" s="435"/>
      <c r="L43" s="435"/>
      <c r="M43" s="435"/>
      <c r="N43" s="435"/>
    </row>
    <row r="44" spans="1:14" ht="14.25">
      <c r="A44" s="436" t="s">
        <v>290</v>
      </c>
      <c r="B44" s="437" t="s">
        <v>299</v>
      </c>
      <c r="C44" s="438">
        <f>+'B Pérdidas y Ganancias'!F28/'C Balance'!F40</f>
        <v>-6.0593991105186942E-2</v>
      </c>
      <c r="D44" s="438"/>
      <c r="E44" s="438"/>
      <c r="F44" s="438">
        <f>+'B Pérdidas y Ganancias'!I28/'C Balance'!I40</f>
        <v>0.11390489403933991</v>
      </c>
      <c r="G44" s="438"/>
      <c r="H44" s="438"/>
      <c r="I44" s="438">
        <f>+'B Pérdidas y Ganancias'!L28/'C Balance'!L40</f>
        <v>-0.28278706121766706</v>
      </c>
      <c r="J44" s="439"/>
      <c r="K44" s="494"/>
      <c r="L44" s="494"/>
      <c r="M44" s="494"/>
      <c r="N44" s="494"/>
    </row>
    <row r="45" spans="1:14" ht="14.25">
      <c r="A45" s="440" t="s">
        <v>277</v>
      </c>
      <c r="B45" s="428" t="s">
        <v>298</v>
      </c>
      <c r="C45" s="441">
        <f>+'B Pérdidas y Ganancias'!F28/'B Pérdidas y Ganancias'!F6</f>
        <v>-0.41957911178655871</v>
      </c>
      <c r="D45" s="430"/>
      <c r="E45" s="430"/>
      <c r="F45" s="441">
        <f>+'B Pérdidas y Ganancias'!I28/'B Pérdidas y Ganancias'!I6</f>
        <v>0.2676639713408393</v>
      </c>
      <c r="G45" s="441"/>
      <c r="H45" s="441"/>
      <c r="I45" s="441">
        <f>+'B Pérdidas y Ganancias'!L28/'B Pérdidas y Ganancias'!L6</f>
        <v>-2.6957062834672025</v>
      </c>
      <c r="J45" s="423"/>
      <c r="K45" s="494"/>
      <c r="L45" s="494"/>
      <c r="M45" s="494"/>
      <c r="N45" s="494"/>
    </row>
    <row r="46" spans="1:14" ht="14.25">
      <c r="A46" s="440" t="s">
        <v>278</v>
      </c>
      <c r="B46" s="428" t="s">
        <v>297</v>
      </c>
      <c r="C46" s="432">
        <f>+'B Pérdidas y Ganancias'!F6/'C Balance'!F40</f>
        <v>0.14441612893258449</v>
      </c>
      <c r="D46" s="430"/>
      <c r="E46" s="430"/>
      <c r="F46" s="432">
        <f>+'B Pérdidas y Ganancias'!I6/'C Balance'!I40</f>
        <v>0.42555183452125916</v>
      </c>
      <c r="G46" s="432"/>
      <c r="H46" s="432"/>
      <c r="I46" s="432">
        <f>+'B Pérdidas y Ganancias'!L6/'C Balance'!L40</f>
        <v>0.10490277184573235</v>
      </c>
      <c r="J46" s="433"/>
      <c r="K46" s="494"/>
      <c r="L46" s="494"/>
      <c r="M46" s="494"/>
      <c r="N46" s="494"/>
    </row>
    <row r="47" spans="1:14" ht="14.25">
      <c r="A47" s="436" t="s">
        <v>279</v>
      </c>
      <c r="B47" s="437" t="s">
        <v>296</v>
      </c>
      <c r="C47" s="438">
        <f>+'B Pérdidas y Ganancias'!F46/'C Balance'!F44</f>
        <v>-6.5190774233135171E-2</v>
      </c>
      <c r="D47" s="438"/>
      <c r="E47" s="438"/>
      <c r="F47" s="438">
        <f>+'B Pérdidas y Ganancias'!I46/'C Balance'!I44</f>
        <v>9.228659455461706E-2</v>
      </c>
      <c r="G47" s="438"/>
      <c r="H47" s="438"/>
      <c r="I47" s="438">
        <f>+'B Pérdidas y Ganancias'!L46/'C Balance'!L44</f>
        <v>-0.22078365690773166</v>
      </c>
      <c r="J47" s="439"/>
      <c r="K47" s="494"/>
      <c r="L47" s="494"/>
      <c r="M47" s="494"/>
      <c r="N47" s="494"/>
    </row>
    <row r="48" spans="1:14" ht="14.25">
      <c r="A48" s="440" t="s">
        <v>280</v>
      </c>
      <c r="B48" s="428" t="s">
        <v>295</v>
      </c>
      <c r="C48" s="432">
        <f>+('C Balance'!F40/(('C Balance'!F44*'B Pérdidas y Ganancias'!F42)/'B Pérdidas y Ganancias'!F46))</f>
        <v>0.87269760331282664</v>
      </c>
      <c r="D48" s="430"/>
      <c r="E48" s="430"/>
      <c r="F48" s="432">
        <f>+('C Balance'!I40/(('C Balance'!I44*'B Pérdidas y Ganancias'!I42)/'B Pérdidas y Ganancias'!I46))</f>
        <v>0.84992873150436232</v>
      </c>
      <c r="G48" s="432"/>
      <c r="H48" s="432"/>
      <c r="I48" s="432">
        <f>+('C Balance'!L40/(('C Balance'!L44*'B Pérdidas y Ganancias'!L42)/'B Pérdidas y Ganancias'!L46))</f>
        <v>0.76788066926372689</v>
      </c>
      <c r="J48" s="433"/>
      <c r="K48" s="494"/>
      <c r="L48" s="494"/>
      <c r="M48" s="494"/>
      <c r="N48" s="494"/>
    </row>
    <row r="49" spans="1:14" ht="14.25">
      <c r="A49" s="440" t="s">
        <v>281</v>
      </c>
      <c r="B49" s="428" t="s">
        <v>36</v>
      </c>
      <c r="C49" s="441">
        <f>+'B Pérdidas y Ganancias'!F46/'B Pérdidas y Ganancias'!F42</f>
        <v>0.75</v>
      </c>
      <c r="D49" s="438"/>
      <c r="E49" s="438"/>
      <c r="F49" s="441">
        <f>+'B Pérdidas y Ganancias'!I46/'B Pérdidas y Ganancias'!I42</f>
        <v>0.75</v>
      </c>
      <c r="G49" s="441"/>
      <c r="H49" s="441"/>
      <c r="I49" s="441">
        <f>+'B Pérdidas y Ganancias'!L46/'B Pérdidas y Ganancias'!L42</f>
        <v>0.74999999999999989</v>
      </c>
      <c r="J49" s="439"/>
      <c r="K49" s="496"/>
      <c r="L49" s="497"/>
      <c r="M49" s="497"/>
      <c r="N49" s="498"/>
    </row>
    <row r="50" spans="1:14" ht="14.25">
      <c r="A50" s="440" t="s">
        <v>282</v>
      </c>
      <c r="B50" s="428" t="s">
        <v>300</v>
      </c>
      <c r="C50" s="441">
        <f>-'B Pérdidas y Ganancias'!F32/('C Balance'!F76+'C Balance'!F93)</f>
        <v>5.2343210929829194E-2</v>
      </c>
      <c r="D50" s="441"/>
      <c r="E50" s="441"/>
      <c r="F50" s="441">
        <f>-'B Pérdidas y Ganancias'!I32/('C Balance'!I76+'C Balance'!I93)</f>
        <v>5.3040436004090252E-2</v>
      </c>
      <c r="G50" s="441"/>
      <c r="H50" s="441"/>
      <c r="I50" s="441">
        <f>-'B Pérdidas y Ganancias'!L32/('C Balance'!L76+'C Balance'!L93)</f>
        <v>5.5262155103846584E-2</v>
      </c>
      <c r="J50" s="439"/>
      <c r="K50" s="496"/>
      <c r="L50" s="497"/>
      <c r="M50" s="497"/>
      <c r="N50" s="498"/>
    </row>
    <row r="51" spans="1:14" ht="14.25">
      <c r="A51" s="427" t="s">
        <v>283</v>
      </c>
      <c r="B51" s="428"/>
      <c r="C51" s="432">
        <f>+'B Pérdidas y Ganancias'!F46+'B Pérdidas y Ganancias'!F20</f>
        <v>-17168.330739583336</v>
      </c>
      <c r="D51" s="441"/>
      <c r="E51" s="441"/>
      <c r="F51" s="432">
        <f>+'B Pérdidas y Ganancias'!I46+'B Pérdidas y Ganancias'!I20</f>
        <v>-40995.652249999999</v>
      </c>
      <c r="G51" s="432"/>
      <c r="H51" s="432"/>
      <c r="I51" s="432">
        <f>+'B Pérdidas y Ganancias'!L46+'B Pérdidas y Ganancias'!L20</f>
        <v>-116651.05577291668</v>
      </c>
      <c r="J51" s="433"/>
      <c r="K51" s="496"/>
      <c r="L51" s="497"/>
      <c r="M51" s="497"/>
      <c r="N51" s="498"/>
    </row>
    <row r="52" spans="1:14" ht="14.25" customHeight="1">
      <c r="A52" s="427" t="s">
        <v>284</v>
      </c>
      <c r="B52" s="428"/>
      <c r="C52" s="441">
        <f>+C51/'B Pérdidas y Ganancias'!F6</f>
        <v>-1.7394458702718678</v>
      </c>
      <c r="D52" s="432"/>
      <c r="E52" s="432"/>
      <c r="F52" s="441">
        <f>+F51/'B Pérdidas y Ganancias'!I6</f>
        <v>-0.55947665984305694</v>
      </c>
      <c r="G52" s="441"/>
      <c r="H52" s="441"/>
      <c r="I52" s="441">
        <f>+I51/'B Pérdidas y Ganancias'!L6</f>
        <v>-5.8559766954275441</v>
      </c>
      <c r="J52" s="433"/>
      <c r="K52" s="494"/>
      <c r="L52" s="494"/>
      <c r="M52" s="494"/>
      <c r="N52" s="494"/>
    </row>
    <row r="53" spans="1:14">
      <c r="C53" s="430"/>
      <c r="D53" s="430"/>
      <c r="E53" s="430"/>
      <c r="F53" s="430"/>
      <c r="G53" s="430"/>
      <c r="H53" s="430"/>
      <c r="I53" s="430"/>
    </row>
    <row r="54" spans="1:14">
      <c r="A54" s="422" t="s">
        <v>285</v>
      </c>
      <c r="C54" s="430"/>
      <c r="D54" s="430"/>
      <c r="E54" s="430"/>
      <c r="F54" s="430"/>
      <c r="G54" s="430"/>
      <c r="H54" s="430"/>
      <c r="I54" s="430"/>
    </row>
    <row r="55" spans="1:14">
      <c r="C55" s="430"/>
      <c r="D55" s="430"/>
      <c r="E55" s="430"/>
      <c r="F55" s="430"/>
      <c r="G55" s="430"/>
      <c r="H55" s="430"/>
      <c r="I55" s="430"/>
    </row>
    <row r="56" spans="1:14" ht="14.25">
      <c r="A56" s="423" t="s">
        <v>96</v>
      </c>
      <c r="B56" s="428" t="s">
        <v>294</v>
      </c>
      <c r="C56" s="430"/>
      <c r="D56" s="430"/>
      <c r="E56" s="430"/>
      <c r="F56" s="441">
        <f>+'B Pérdidas y Ganancias'!I6/'B Pérdidas y Ganancias'!F6</f>
        <v>7.4240121580547109</v>
      </c>
      <c r="G56" s="441"/>
      <c r="H56" s="441"/>
      <c r="I56" s="441">
        <f>+'B Pérdidas y Ganancias'!L6/'B Pérdidas y Ganancias'!I6</f>
        <v>0.27185261003070627</v>
      </c>
      <c r="J56" s="439"/>
      <c r="K56" s="443" t="s">
        <v>96</v>
      </c>
      <c r="L56" s="443" t="s">
        <v>286</v>
      </c>
      <c r="M56" s="443" t="s">
        <v>287</v>
      </c>
      <c r="N56" s="443" t="s">
        <v>288</v>
      </c>
    </row>
    <row r="57" spans="1:14" ht="14.25" customHeight="1">
      <c r="A57" s="423" t="s">
        <v>286</v>
      </c>
      <c r="B57" s="428" t="s">
        <v>293</v>
      </c>
      <c r="C57" s="430"/>
      <c r="D57" s="430"/>
      <c r="E57" s="430"/>
      <c r="F57" s="441">
        <f>+'C Balance'!I40/'C Balance'!F40</f>
        <v>2.5194277407377577</v>
      </c>
      <c r="G57" s="441"/>
      <c r="H57" s="441"/>
      <c r="I57" s="441">
        <f>+'C Balance'!L40/'C Balance'!I40</f>
        <v>1.1028057207876905</v>
      </c>
      <c r="J57" s="439"/>
      <c r="K57" s="443">
        <f>+$F56/SUM($F56:$F59)</f>
        <v>0.88505821225266623</v>
      </c>
      <c r="L57" s="443">
        <f>+$F57/SUM($F56:$F59)</f>
        <v>0.30035514013778386</v>
      </c>
      <c r="M57" s="443">
        <f>+$F58/SUM($F56:$F59)</f>
        <v>0.25117166018617104</v>
      </c>
      <c r="N57" s="443">
        <f>+$F59/SUM($F56:$F59)</f>
        <v>-0.43658501257662125</v>
      </c>
    </row>
    <row r="58" spans="1:14" ht="14.25" customHeight="1">
      <c r="A58" s="423" t="s">
        <v>287</v>
      </c>
      <c r="B58" s="428" t="s">
        <v>292</v>
      </c>
      <c r="C58" s="430"/>
      <c r="D58" s="430"/>
      <c r="E58" s="430"/>
      <c r="F58" s="441">
        <f>+('C Balance'!I71+'C Balance'!I86)/('C Balance'!F71+'C Balance'!F86)</f>
        <v>2.1068687157140187</v>
      </c>
      <c r="G58" s="441"/>
      <c r="H58" s="441"/>
      <c r="I58" s="441">
        <f>+('C Balance'!L71+'C Balance'!L86)/('C Balance'!I71+'C Balance'!I86)</f>
        <v>0.2184143567546982</v>
      </c>
      <c r="J58" s="439"/>
      <c r="K58" s="443"/>
      <c r="L58" s="443"/>
      <c r="M58" s="443"/>
      <c r="N58" s="443"/>
    </row>
    <row r="59" spans="1:14" ht="14.25" customHeight="1">
      <c r="A59" s="423" t="s">
        <v>288</v>
      </c>
      <c r="B59" s="428" t="s">
        <v>291</v>
      </c>
      <c r="C59" s="430"/>
      <c r="D59" s="430"/>
      <c r="E59" s="430"/>
      <c r="F59" s="441">
        <f>+'B Pérdidas y Ganancias'!I46/'B Pérdidas y Ganancias'!F46</f>
        <v>-3.6621460560698171</v>
      </c>
      <c r="G59" s="441"/>
      <c r="H59" s="441"/>
      <c r="I59" s="441">
        <f>+'B Pérdidas y Ganancias'!L46/'B Pérdidas y Ganancias'!I46</f>
        <v>-2.9202234772882454</v>
      </c>
      <c r="J59" s="439"/>
      <c r="K59" s="496"/>
      <c r="L59" s="497"/>
      <c r="M59" s="497"/>
      <c r="N59" s="498"/>
    </row>
    <row r="61" spans="1:14">
      <c r="C61" s="442"/>
      <c r="F61" s="442"/>
      <c r="G61" s="442"/>
      <c r="H61" s="442"/>
      <c r="I61" s="495" t="str">
        <f>+CONCATENATE("Ejercicio ",F6)</f>
        <v>Ejercicio 2015</v>
      </c>
    </row>
    <row r="62" spans="1:14">
      <c r="C62" s="442"/>
      <c r="F62" s="442"/>
      <c r="G62" s="442"/>
      <c r="H62" s="442"/>
      <c r="I62" s="495"/>
    </row>
    <row r="63" spans="1:14">
      <c r="I63" s="495"/>
    </row>
    <row r="64" spans="1:14">
      <c r="I64" s="495"/>
    </row>
    <row r="65" spans="9:14">
      <c r="I65" s="495"/>
    </row>
    <row r="66" spans="9:14">
      <c r="I66" s="495"/>
    </row>
    <row r="67" spans="9:14">
      <c r="I67" s="495"/>
    </row>
    <row r="69" spans="9:14">
      <c r="K69" s="443">
        <f>+$I56/SUM($I56:$I59)</f>
        <v>-0.20483927835288004</v>
      </c>
      <c r="L69" s="443">
        <f>+$I57/SUM($I56:$I59)</f>
        <v>-0.83095736319788371</v>
      </c>
      <c r="M69" s="443">
        <f>+$I58/SUM($I56:$I59)</f>
        <v>-0.16457388146645868</v>
      </c>
      <c r="N69" s="443">
        <f>+$I59/SUM($I56:$I59)</f>
        <v>2.2003705230172224</v>
      </c>
    </row>
    <row r="71" spans="9:14">
      <c r="I71" s="495" t="str">
        <f>+CONCATENATE("Ejercicio ",I6)</f>
        <v>Ejercicio 2016</v>
      </c>
    </row>
    <row r="72" spans="9:14">
      <c r="I72" s="495"/>
    </row>
    <row r="73" spans="9:14">
      <c r="I73" s="495"/>
    </row>
    <row r="74" spans="9:14">
      <c r="I74" s="495"/>
    </row>
    <row r="75" spans="9:14">
      <c r="I75" s="495"/>
    </row>
    <row r="76" spans="9:14">
      <c r="I76" s="495"/>
    </row>
    <row r="77" spans="9:14">
      <c r="I77" s="495"/>
    </row>
  </sheetData>
  <mergeCells count="30">
    <mergeCell ref="K37:N37"/>
    <mergeCell ref="K45:N45"/>
    <mergeCell ref="K49:N49"/>
    <mergeCell ref="K39:N39"/>
    <mergeCell ref="K50:N50"/>
    <mergeCell ref="K48:N48"/>
    <mergeCell ref="K46:N46"/>
    <mergeCell ref="K40:N40"/>
    <mergeCell ref="K44:N44"/>
    <mergeCell ref="K9:N9"/>
    <mergeCell ref="K13:N13"/>
    <mergeCell ref="K14:N14"/>
    <mergeCell ref="K15:N15"/>
    <mergeCell ref="K16:N16"/>
    <mergeCell ref="K17:N17"/>
    <mergeCell ref="K21:N21"/>
    <mergeCell ref="K24:N24"/>
    <mergeCell ref="K22:N22"/>
    <mergeCell ref="I71:I77"/>
    <mergeCell ref="K59:N59"/>
    <mergeCell ref="K47:N47"/>
    <mergeCell ref="K52:N52"/>
    <mergeCell ref="K51:N51"/>
    <mergeCell ref="I61:I67"/>
    <mergeCell ref="K30:N30"/>
    <mergeCell ref="K31:N31"/>
    <mergeCell ref="K32:N32"/>
    <mergeCell ref="K38:N38"/>
    <mergeCell ref="K25:N25"/>
    <mergeCell ref="K23:N23"/>
  </mergeCells>
  <phoneticPr fontId="42" type="noConversion"/>
  <pageMargins left="0.35" right="0.1" top="0.33" bottom="0.23" header="0" footer="0"/>
  <pageSetup paperSize="9" scale="71" fitToHeight="0" orientation="landscape" horizontalDpi="300" verticalDpi="300" r:id="rId1"/>
  <headerFooter alignWithMargins="0">
    <oddFooter>&amp;A&amp;RPágina &amp;P</oddFooter>
  </headerFooter>
  <rowBreaks count="1" manualBreakCount="1">
    <brk id="41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indexed="8"/>
  </sheetPr>
  <dimension ref="A1:I379"/>
  <sheetViews>
    <sheetView showGridLines="0" zoomScale="85" workbookViewId="0">
      <selection activeCell="H17" sqref="H17"/>
    </sheetView>
  </sheetViews>
  <sheetFormatPr baseColWidth="10" defaultColWidth="9.140625" defaultRowHeight="13.5"/>
  <cols>
    <col min="1" max="1" width="11.140625" style="7" customWidth="1"/>
    <col min="2" max="2" width="12.42578125" style="6" customWidth="1"/>
    <col min="3" max="3" width="17.5703125" style="6" customWidth="1"/>
    <col min="4" max="4" width="14.42578125" style="6" customWidth="1"/>
    <col min="5" max="5" width="17.85546875" style="6" customWidth="1"/>
    <col min="6" max="6" width="12.85546875" style="6" bestFit="1" customWidth="1"/>
    <col min="7" max="7" width="9.140625" style="6" customWidth="1"/>
    <col min="8" max="8" width="14.7109375" style="6" customWidth="1"/>
    <col min="9" max="16384" width="9.140625" style="6"/>
  </cols>
  <sheetData>
    <row r="1" spans="1:9">
      <c r="A1" s="4" t="str">
        <f>+'Datos iniciales'!C4</f>
        <v>ALFA</v>
      </c>
    </row>
    <row r="2" spans="1:9">
      <c r="A2" s="4" t="s">
        <v>190</v>
      </c>
      <c r="B2" s="222">
        <f>+'C Balance'!F5</f>
        <v>2014</v>
      </c>
    </row>
    <row r="4" spans="1:9">
      <c r="A4" s="4" t="s">
        <v>2</v>
      </c>
      <c r="B4" s="5" t="s">
        <v>191</v>
      </c>
      <c r="C4" s="5"/>
      <c r="D4" s="5"/>
      <c r="E4" s="223">
        <f>+'2 Financiación'!F20</f>
        <v>20000</v>
      </c>
    </row>
    <row r="5" spans="1:9">
      <c r="A5" s="4"/>
      <c r="B5" s="6" t="s">
        <v>192</v>
      </c>
      <c r="E5" s="14"/>
    </row>
    <row r="6" spans="1:9">
      <c r="B6" s="6" t="s">
        <v>193</v>
      </c>
      <c r="D6" s="8"/>
      <c r="E6" s="14"/>
    </row>
    <row r="7" spans="1:9">
      <c r="B7" s="5" t="s">
        <v>30</v>
      </c>
      <c r="C7" s="5"/>
      <c r="D7" s="5"/>
      <c r="E7" s="223">
        <f>+E4-E5-E6</f>
        <v>20000</v>
      </c>
      <c r="F7" s="2"/>
    </row>
    <row r="8" spans="1:9">
      <c r="B8" s="6" t="s">
        <v>194</v>
      </c>
      <c r="E8" s="8">
        <f>+'2 Financiación'!F31</f>
        <v>0.05</v>
      </c>
      <c r="F8" s="9"/>
    </row>
    <row r="9" spans="1:9">
      <c r="B9" s="6" t="s">
        <v>195</v>
      </c>
      <c r="E9" s="6">
        <f>+'2 Financiación'!F32*E10</f>
        <v>120</v>
      </c>
      <c r="F9" s="476">
        <f>+E9/12</f>
        <v>10</v>
      </c>
    </row>
    <row r="10" spans="1:9">
      <c r="B10" s="6" t="s">
        <v>196</v>
      </c>
      <c r="E10" s="6">
        <v>12</v>
      </c>
      <c r="F10" s="9"/>
    </row>
    <row r="11" spans="1:9">
      <c r="B11" s="6" t="s">
        <v>197</v>
      </c>
      <c r="E11" s="10"/>
      <c r="F11" s="11">
        <f>+E11*E4</f>
        <v>0</v>
      </c>
      <c r="G11" s="12"/>
    </row>
    <row r="12" spans="1:9">
      <c r="E12" s="12"/>
      <c r="F12" s="9"/>
    </row>
    <row r="13" spans="1:9">
      <c r="D13" s="5" t="s">
        <v>201</v>
      </c>
      <c r="E13" s="91">
        <f>PMT(E8/E10, E9, E7)*(-1)</f>
        <v>212.13103047814985</v>
      </c>
      <c r="F13" s="11"/>
      <c r="G13" s="11"/>
    </row>
    <row r="14" spans="1:9">
      <c r="I14" s="224"/>
    </row>
    <row r="15" spans="1:9" ht="14.25" thickBot="1">
      <c r="A15" s="94" t="s">
        <v>3</v>
      </c>
      <c r="B15" s="95" t="s">
        <v>1</v>
      </c>
      <c r="C15" s="95" t="s">
        <v>198</v>
      </c>
      <c r="D15" s="95" t="s">
        <v>199</v>
      </c>
      <c r="E15" s="95" t="s">
        <v>200</v>
      </c>
      <c r="F15" s="95" t="s">
        <v>4</v>
      </c>
    </row>
    <row r="17" spans="1:8">
      <c r="A17" s="13" t="s">
        <v>252</v>
      </c>
      <c r="B17" s="14">
        <f>+SUM(B20:B379)</f>
        <v>25455.723657378003</v>
      </c>
      <c r="C17" s="14">
        <f>+SUM(C20:C379)</f>
        <v>5455.7234583333329</v>
      </c>
      <c r="D17" s="14">
        <f>+SUM(D20:D379)</f>
        <v>20000.000199044654</v>
      </c>
      <c r="E17" s="14"/>
    </row>
    <row r="18" spans="1:8">
      <c r="B18" s="2"/>
      <c r="C18" s="2"/>
      <c r="D18" s="2"/>
    </row>
    <row r="19" spans="1:8">
      <c r="C19" s="15"/>
      <c r="D19" s="15"/>
      <c r="E19" s="15"/>
      <c r="F19" s="14">
        <f>E7</f>
        <v>20000</v>
      </c>
    </row>
    <row r="20" spans="1:8" s="225" customFormat="1">
      <c r="A20" s="16">
        <v>1</v>
      </c>
      <c r="B20" s="238">
        <f>IF(A20&lt;=$E$9,C20+D20,"0,00")</f>
        <v>212.13103047814985</v>
      </c>
      <c r="C20" s="238">
        <f>IF(A20&lt;=$E$9,F19*($E$8/$E$10),"0,00")</f>
        <v>83.333333333333329</v>
      </c>
      <c r="D20" s="17">
        <f t="shared" ref="D20:D83" si="0">IF(A20&lt;=$E$9,$E$13-C20,"")</f>
        <v>128.79769714481654</v>
      </c>
      <c r="E20" s="17">
        <f t="shared" ref="E20:E83" si="1">IF(A20&lt;=$E$9,E19+D20,"")</f>
        <v>128.79769714481654</v>
      </c>
      <c r="F20" s="17">
        <f t="shared" ref="F20:F83" si="2">IF(A20&lt;=$E$9,ROUND(($F$19-E20),2),"")</f>
        <v>19871.2</v>
      </c>
      <c r="H20" s="226"/>
    </row>
    <row r="21" spans="1:8" s="225" customFormat="1">
      <c r="A21" s="16">
        <f t="shared" ref="A21:A84" si="3">IF(A20&lt;$E$9,A20+1,"")</f>
        <v>2</v>
      </c>
      <c r="B21" s="238">
        <f t="shared" ref="B21:B84" si="4">IF(A21&lt;=$E$9,C21+D21,"0,00")</f>
        <v>212.13103047814985</v>
      </c>
      <c r="C21" s="238">
        <f t="shared" ref="C21:C84" si="5">IF(A21&lt;=$E$9,F20*($E$8/$E$10),"0,00")</f>
        <v>82.796666666666667</v>
      </c>
      <c r="D21" s="17">
        <f t="shared" si="0"/>
        <v>129.33436381148317</v>
      </c>
      <c r="E21" s="17">
        <f t="shared" si="1"/>
        <v>258.13206095629971</v>
      </c>
      <c r="F21" s="17">
        <f t="shared" si="2"/>
        <v>19741.87</v>
      </c>
      <c r="H21" s="226"/>
    </row>
    <row r="22" spans="1:8" s="225" customFormat="1">
      <c r="A22" s="16">
        <f t="shared" si="3"/>
        <v>3</v>
      </c>
      <c r="B22" s="238">
        <f t="shared" si="4"/>
        <v>212.13103047814985</v>
      </c>
      <c r="C22" s="238">
        <f t="shared" si="5"/>
        <v>82.257791666666662</v>
      </c>
      <c r="D22" s="17">
        <f t="shared" si="0"/>
        <v>129.87323881148319</v>
      </c>
      <c r="E22" s="17">
        <f t="shared" si="1"/>
        <v>388.0052997677829</v>
      </c>
      <c r="F22" s="17">
        <f t="shared" si="2"/>
        <v>19611.990000000002</v>
      </c>
      <c r="H22" s="226"/>
    </row>
    <row r="23" spans="1:8">
      <c r="A23" s="16">
        <f t="shared" si="3"/>
        <v>4</v>
      </c>
      <c r="B23" s="238">
        <f t="shared" si="4"/>
        <v>212.13103047814985</v>
      </c>
      <c r="C23" s="238">
        <f t="shared" si="5"/>
        <v>81.716625000000008</v>
      </c>
      <c r="D23" s="17">
        <f t="shared" si="0"/>
        <v>130.41440547814983</v>
      </c>
      <c r="E23" s="17">
        <f t="shared" si="1"/>
        <v>518.41970524593273</v>
      </c>
      <c r="F23" s="17">
        <f t="shared" si="2"/>
        <v>19481.580000000002</v>
      </c>
      <c r="H23" s="227"/>
    </row>
    <row r="24" spans="1:8">
      <c r="A24" s="16">
        <f t="shared" si="3"/>
        <v>5</v>
      </c>
      <c r="B24" s="238">
        <f t="shared" si="4"/>
        <v>212.13103047814985</v>
      </c>
      <c r="C24" s="238">
        <f t="shared" si="5"/>
        <v>81.17325000000001</v>
      </c>
      <c r="D24" s="17">
        <f t="shared" si="0"/>
        <v>130.95778047814986</v>
      </c>
      <c r="E24" s="17">
        <f t="shared" si="1"/>
        <v>649.37748572408259</v>
      </c>
      <c r="F24" s="17">
        <f t="shared" si="2"/>
        <v>19350.62</v>
      </c>
      <c r="H24" s="227"/>
    </row>
    <row r="25" spans="1:8">
      <c r="A25" s="16">
        <f t="shared" si="3"/>
        <v>6</v>
      </c>
      <c r="B25" s="238">
        <f t="shared" si="4"/>
        <v>212.13103047814985</v>
      </c>
      <c r="C25" s="238">
        <f t="shared" si="5"/>
        <v>80.627583333333334</v>
      </c>
      <c r="D25" s="17">
        <f t="shared" si="0"/>
        <v>131.5034471448165</v>
      </c>
      <c r="E25" s="17">
        <f t="shared" si="1"/>
        <v>780.88093286889909</v>
      </c>
      <c r="F25" s="17">
        <f t="shared" si="2"/>
        <v>19219.12</v>
      </c>
      <c r="H25" s="227"/>
    </row>
    <row r="26" spans="1:8">
      <c r="A26" s="16">
        <f t="shared" si="3"/>
        <v>7</v>
      </c>
      <c r="B26" s="238">
        <f t="shared" si="4"/>
        <v>212.13103047814985</v>
      </c>
      <c r="C26" s="238">
        <f t="shared" si="5"/>
        <v>80.079666666666668</v>
      </c>
      <c r="D26" s="17">
        <f t="shared" si="0"/>
        <v>132.05136381148318</v>
      </c>
      <c r="E26" s="17">
        <f t="shared" si="1"/>
        <v>912.93229668038225</v>
      </c>
      <c r="F26" s="17">
        <f t="shared" si="2"/>
        <v>19087.07</v>
      </c>
      <c r="H26" s="227"/>
    </row>
    <row r="27" spans="1:8">
      <c r="A27" s="16">
        <f t="shared" si="3"/>
        <v>8</v>
      </c>
      <c r="B27" s="238">
        <f t="shared" si="4"/>
        <v>212.13103047814985</v>
      </c>
      <c r="C27" s="238">
        <f t="shared" si="5"/>
        <v>79.529458333333338</v>
      </c>
      <c r="D27" s="17">
        <f t="shared" si="0"/>
        <v>132.60157214481652</v>
      </c>
      <c r="E27" s="17">
        <f t="shared" si="1"/>
        <v>1045.5338688251989</v>
      </c>
      <c r="F27" s="17">
        <f t="shared" si="2"/>
        <v>18954.47</v>
      </c>
      <c r="H27" s="227"/>
    </row>
    <row r="28" spans="1:8">
      <c r="A28" s="16">
        <f t="shared" si="3"/>
        <v>9</v>
      </c>
      <c r="B28" s="238">
        <f t="shared" si="4"/>
        <v>212.13103047814985</v>
      </c>
      <c r="C28" s="238">
        <f t="shared" si="5"/>
        <v>78.976958333333343</v>
      </c>
      <c r="D28" s="17">
        <f t="shared" si="0"/>
        <v>133.1540721448165</v>
      </c>
      <c r="E28" s="17">
        <f t="shared" si="1"/>
        <v>1178.6879409700155</v>
      </c>
      <c r="F28" s="17">
        <f t="shared" si="2"/>
        <v>18821.310000000001</v>
      </c>
    </row>
    <row r="29" spans="1:8">
      <c r="A29" s="16">
        <f t="shared" si="3"/>
        <v>10</v>
      </c>
      <c r="B29" s="238">
        <f t="shared" si="4"/>
        <v>212.13103047814985</v>
      </c>
      <c r="C29" s="238">
        <f t="shared" si="5"/>
        <v>78.422125000000008</v>
      </c>
      <c r="D29" s="17">
        <f t="shared" si="0"/>
        <v>133.70890547814986</v>
      </c>
      <c r="E29" s="17">
        <f t="shared" si="1"/>
        <v>1312.3968464481654</v>
      </c>
      <c r="F29" s="17">
        <f t="shared" si="2"/>
        <v>18687.599999999999</v>
      </c>
    </row>
    <row r="30" spans="1:8">
      <c r="A30" s="16">
        <f t="shared" si="3"/>
        <v>11</v>
      </c>
      <c r="B30" s="238">
        <f t="shared" si="4"/>
        <v>212.13103047814985</v>
      </c>
      <c r="C30" s="238">
        <f t="shared" si="5"/>
        <v>77.864999999999995</v>
      </c>
      <c r="D30" s="17">
        <f t="shared" si="0"/>
        <v>134.26603047814984</v>
      </c>
      <c r="E30" s="17">
        <f t="shared" si="1"/>
        <v>1446.6628769263152</v>
      </c>
      <c r="F30" s="17">
        <f t="shared" si="2"/>
        <v>18553.34</v>
      </c>
    </row>
    <row r="31" spans="1:8">
      <c r="A31" s="16">
        <f t="shared" si="3"/>
        <v>12</v>
      </c>
      <c r="B31" s="238">
        <f t="shared" si="4"/>
        <v>212.13103047814985</v>
      </c>
      <c r="C31" s="238">
        <f t="shared" si="5"/>
        <v>77.305583333333331</v>
      </c>
      <c r="D31" s="17">
        <f t="shared" si="0"/>
        <v>134.82544714481651</v>
      </c>
      <c r="E31" s="17">
        <f t="shared" si="1"/>
        <v>1581.4883240711317</v>
      </c>
      <c r="F31" s="17">
        <f t="shared" si="2"/>
        <v>18418.509999999998</v>
      </c>
    </row>
    <row r="32" spans="1:8">
      <c r="A32" s="16">
        <f t="shared" si="3"/>
        <v>13</v>
      </c>
      <c r="B32" s="238">
        <f t="shared" si="4"/>
        <v>212.13103047814985</v>
      </c>
      <c r="C32" s="238">
        <f t="shared" si="5"/>
        <v>76.743791666666652</v>
      </c>
      <c r="D32" s="17">
        <f t="shared" si="0"/>
        <v>135.3872388114832</v>
      </c>
      <c r="E32" s="17">
        <f t="shared" si="1"/>
        <v>1716.875562882615</v>
      </c>
      <c r="F32" s="17">
        <f t="shared" si="2"/>
        <v>18283.12</v>
      </c>
    </row>
    <row r="33" spans="1:6">
      <c r="A33" s="16">
        <f t="shared" si="3"/>
        <v>14</v>
      </c>
      <c r="B33" s="238">
        <f t="shared" si="4"/>
        <v>212.13103047814985</v>
      </c>
      <c r="C33" s="238">
        <f t="shared" si="5"/>
        <v>76.179666666666662</v>
      </c>
      <c r="D33" s="17">
        <f t="shared" si="0"/>
        <v>135.95136381148319</v>
      </c>
      <c r="E33" s="17">
        <f t="shared" si="1"/>
        <v>1852.8269266940981</v>
      </c>
      <c r="F33" s="17">
        <f t="shared" si="2"/>
        <v>18147.169999999998</v>
      </c>
    </row>
    <row r="34" spans="1:6">
      <c r="A34" s="16">
        <f t="shared" si="3"/>
        <v>15</v>
      </c>
      <c r="B34" s="238">
        <f t="shared" si="4"/>
        <v>212.13103047814985</v>
      </c>
      <c r="C34" s="238">
        <f t="shared" si="5"/>
        <v>75.613208333333318</v>
      </c>
      <c r="D34" s="17">
        <f t="shared" si="0"/>
        <v>136.51782214481653</v>
      </c>
      <c r="E34" s="17">
        <f t="shared" si="1"/>
        <v>1989.3447488389147</v>
      </c>
      <c r="F34" s="17">
        <f t="shared" si="2"/>
        <v>18010.66</v>
      </c>
    </row>
    <row r="35" spans="1:6">
      <c r="A35" s="7">
        <f t="shared" si="3"/>
        <v>16</v>
      </c>
      <c r="B35" s="238">
        <f t="shared" si="4"/>
        <v>212.13103047814985</v>
      </c>
      <c r="C35" s="238">
        <f t="shared" si="5"/>
        <v>75.044416666666663</v>
      </c>
      <c r="D35" s="14">
        <f t="shared" si="0"/>
        <v>137.08661381148318</v>
      </c>
      <c r="E35" s="14">
        <f t="shared" si="1"/>
        <v>2126.4313626503981</v>
      </c>
      <c r="F35" s="14">
        <f t="shared" si="2"/>
        <v>17873.57</v>
      </c>
    </row>
    <row r="36" spans="1:6">
      <c r="A36" s="7">
        <f t="shared" si="3"/>
        <v>17</v>
      </c>
      <c r="B36" s="238">
        <f t="shared" si="4"/>
        <v>212.13103047814985</v>
      </c>
      <c r="C36" s="238">
        <f t="shared" si="5"/>
        <v>74.473208333333332</v>
      </c>
      <c r="D36" s="14">
        <f t="shared" si="0"/>
        <v>137.65782214481652</v>
      </c>
      <c r="E36" s="14">
        <f t="shared" si="1"/>
        <v>2264.0891847952148</v>
      </c>
      <c r="F36" s="14">
        <f t="shared" si="2"/>
        <v>17735.91</v>
      </c>
    </row>
    <row r="37" spans="1:6">
      <c r="A37" s="7">
        <f t="shared" si="3"/>
        <v>18</v>
      </c>
      <c r="B37" s="238">
        <f t="shared" si="4"/>
        <v>212.13103047814985</v>
      </c>
      <c r="C37" s="238">
        <f t="shared" si="5"/>
        <v>73.899625</v>
      </c>
      <c r="D37" s="14">
        <f t="shared" si="0"/>
        <v>138.23140547814984</v>
      </c>
      <c r="E37" s="14">
        <f t="shared" si="1"/>
        <v>2402.3205902733648</v>
      </c>
      <c r="F37" s="14">
        <f t="shared" si="2"/>
        <v>17597.68</v>
      </c>
    </row>
    <row r="38" spans="1:6">
      <c r="A38" s="7">
        <f t="shared" si="3"/>
        <v>19</v>
      </c>
      <c r="B38" s="238">
        <f t="shared" si="4"/>
        <v>212.13103047814985</v>
      </c>
      <c r="C38" s="238">
        <f t="shared" si="5"/>
        <v>73.323666666666668</v>
      </c>
      <c r="D38" s="14">
        <f t="shared" si="0"/>
        <v>138.80736381148319</v>
      </c>
      <c r="E38" s="14">
        <f t="shared" si="1"/>
        <v>2541.1279540848482</v>
      </c>
      <c r="F38" s="14">
        <f t="shared" si="2"/>
        <v>17458.87</v>
      </c>
    </row>
    <row r="39" spans="1:6">
      <c r="A39" s="7">
        <f t="shared" si="3"/>
        <v>20</v>
      </c>
      <c r="B39" s="238">
        <f t="shared" si="4"/>
        <v>212.13103047814985</v>
      </c>
      <c r="C39" s="238">
        <f t="shared" si="5"/>
        <v>72.74529166666666</v>
      </c>
      <c r="D39" s="14">
        <f t="shared" si="0"/>
        <v>139.38573881148318</v>
      </c>
      <c r="E39" s="14">
        <f t="shared" si="1"/>
        <v>2680.5136928963311</v>
      </c>
      <c r="F39" s="14">
        <f t="shared" si="2"/>
        <v>17319.490000000002</v>
      </c>
    </row>
    <row r="40" spans="1:6">
      <c r="A40" s="7">
        <f t="shared" si="3"/>
        <v>21</v>
      </c>
      <c r="B40" s="238">
        <f t="shared" si="4"/>
        <v>212.13103047814985</v>
      </c>
      <c r="C40" s="238">
        <f t="shared" si="5"/>
        <v>72.164541666666679</v>
      </c>
      <c r="D40" s="14">
        <f t="shared" si="0"/>
        <v>139.96648881148317</v>
      </c>
      <c r="E40" s="14">
        <f t="shared" si="1"/>
        <v>2820.4801817078142</v>
      </c>
      <c r="F40" s="14">
        <f t="shared" si="2"/>
        <v>17179.52</v>
      </c>
    </row>
    <row r="41" spans="1:6">
      <c r="A41" s="7">
        <f t="shared" si="3"/>
        <v>22</v>
      </c>
      <c r="B41" s="238">
        <f t="shared" si="4"/>
        <v>212.13103047814985</v>
      </c>
      <c r="C41" s="238">
        <f t="shared" si="5"/>
        <v>71.581333333333333</v>
      </c>
      <c r="D41" s="14">
        <f t="shared" si="0"/>
        <v>140.54969714481652</v>
      </c>
      <c r="E41" s="14">
        <f t="shared" si="1"/>
        <v>2961.0298788526306</v>
      </c>
      <c r="F41" s="14">
        <f t="shared" si="2"/>
        <v>17038.97</v>
      </c>
    </row>
    <row r="42" spans="1:6">
      <c r="A42" s="7">
        <f t="shared" si="3"/>
        <v>23</v>
      </c>
      <c r="B42" s="238">
        <f t="shared" si="4"/>
        <v>212.13103047814985</v>
      </c>
      <c r="C42" s="238">
        <f t="shared" si="5"/>
        <v>70.99570833333334</v>
      </c>
      <c r="D42" s="14">
        <f t="shared" si="0"/>
        <v>141.13532214481651</v>
      </c>
      <c r="E42" s="14">
        <f t="shared" si="1"/>
        <v>3102.1652009974473</v>
      </c>
      <c r="F42" s="14">
        <f t="shared" si="2"/>
        <v>16897.830000000002</v>
      </c>
    </row>
    <row r="43" spans="1:6">
      <c r="A43" s="7">
        <f t="shared" si="3"/>
        <v>24</v>
      </c>
      <c r="B43" s="238">
        <f t="shared" si="4"/>
        <v>212.13103047814985</v>
      </c>
      <c r="C43" s="238">
        <f t="shared" si="5"/>
        <v>70.40762500000001</v>
      </c>
      <c r="D43" s="14">
        <f t="shared" si="0"/>
        <v>141.72340547814986</v>
      </c>
      <c r="E43" s="14">
        <f t="shared" si="1"/>
        <v>3243.888606475597</v>
      </c>
      <c r="F43" s="14">
        <f t="shared" si="2"/>
        <v>16756.11</v>
      </c>
    </row>
    <row r="44" spans="1:6">
      <c r="A44" s="7">
        <f t="shared" si="3"/>
        <v>25</v>
      </c>
      <c r="B44" s="238">
        <f t="shared" si="4"/>
        <v>212.13103047814985</v>
      </c>
      <c r="C44" s="238">
        <f t="shared" si="5"/>
        <v>69.817125000000004</v>
      </c>
      <c r="D44" s="14">
        <f t="shared" si="0"/>
        <v>142.31390547814985</v>
      </c>
      <c r="E44" s="14">
        <f t="shared" si="1"/>
        <v>3386.202511953747</v>
      </c>
      <c r="F44" s="14">
        <f t="shared" si="2"/>
        <v>16613.8</v>
      </c>
    </row>
    <row r="45" spans="1:6">
      <c r="A45" s="7">
        <f t="shared" si="3"/>
        <v>26</v>
      </c>
      <c r="B45" s="238">
        <f t="shared" si="4"/>
        <v>212.13103047814985</v>
      </c>
      <c r="C45" s="238">
        <f t="shared" si="5"/>
        <v>69.224166666666662</v>
      </c>
      <c r="D45" s="14">
        <f t="shared" si="0"/>
        <v>142.90686381148319</v>
      </c>
      <c r="E45" s="14">
        <f t="shared" si="1"/>
        <v>3529.1093757652302</v>
      </c>
      <c r="F45" s="14">
        <f t="shared" si="2"/>
        <v>16470.89</v>
      </c>
    </row>
    <row r="46" spans="1:6">
      <c r="A46" s="7">
        <f t="shared" si="3"/>
        <v>27</v>
      </c>
      <c r="B46" s="238">
        <f t="shared" si="4"/>
        <v>212.13103047814985</v>
      </c>
      <c r="C46" s="238">
        <f t="shared" si="5"/>
        <v>68.628708333333336</v>
      </c>
      <c r="D46" s="14">
        <f t="shared" si="0"/>
        <v>143.5023221448165</v>
      </c>
      <c r="E46" s="14">
        <f t="shared" si="1"/>
        <v>3672.6116979100466</v>
      </c>
      <c r="F46" s="14">
        <f t="shared" si="2"/>
        <v>16327.39</v>
      </c>
    </row>
    <row r="47" spans="1:6">
      <c r="A47" s="7">
        <f t="shared" si="3"/>
        <v>28</v>
      </c>
      <c r="B47" s="238">
        <f t="shared" si="4"/>
        <v>212.13103047814985</v>
      </c>
      <c r="C47" s="238">
        <f t="shared" si="5"/>
        <v>68.030791666666659</v>
      </c>
      <c r="D47" s="14">
        <f t="shared" si="0"/>
        <v>144.10023881148319</v>
      </c>
      <c r="E47" s="14">
        <f t="shared" si="1"/>
        <v>3816.7119367215296</v>
      </c>
      <c r="F47" s="14">
        <f t="shared" si="2"/>
        <v>16183.29</v>
      </c>
    </row>
    <row r="48" spans="1:6">
      <c r="A48" s="7">
        <f t="shared" si="3"/>
        <v>29</v>
      </c>
      <c r="B48" s="238">
        <f t="shared" si="4"/>
        <v>212.13103047814985</v>
      </c>
      <c r="C48" s="238">
        <f t="shared" si="5"/>
        <v>67.430374999999998</v>
      </c>
      <c r="D48" s="14">
        <f t="shared" si="0"/>
        <v>144.70065547814986</v>
      </c>
      <c r="E48" s="14">
        <f t="shared" si="1"/>
        <v>3961.4125921996792</v>
      </c>
      <c r="F48" s="14">
        <f t="shared" si="2"/>
        <v>16038.59</v>
      </c>
    </row>
    <row r="49" spans="1:6">
      <c r="A49" s="7">
        <f t="shared" si="3"/>
        <v>30</v>
      </c>
      <c r="B49" s="238">
        <f t="shared" si="4"/>
        <v>212.13103047814985</v>
      </c>
      <c r="C49" s="238">
        <f t="shared" si="5"/>
        <v>66.82745833333334</v>
      </c>
      <c r="D49" s="14">
        <f t="shared" si="0"/>
        <v>145.30357214481651</v>
      </c>
      <c r="E49" s="14">
        <f t="shared" si="1"/>
        <v>4106.7161643444961</v>
      </c>
      <c r="F49" s="14">
        <f t="shared" si="2"/>
        <v>15893.28</v>
      </c>
    </row>
    <row r="50" spans="1:6">
      <c r="A50" s="7">
        <f t="shared" si="3"/>
        <v>31</v>
      </c>
      <c r="B50" s="238">
        <f t="shared" si="4"/>
        <v>212.13103047814985</v>
      </c>
      <c r="C50" s="238">
        <f t="shared" si="5"/>
        <v>66.222000000000008</v>
      </c>
      <c r="D50" s="14">
        <f t="shared" si="0"/>
        <v>145.90903047814984</v>
      </c>
      <c r="E50" s="14">
        <f t="shared" si="1"/>
        <v>4252.6251948226463</v>
      </c>
      <c r="F50" s="14">
        <f t="shared" si="2"/>
        <v>15747.37</v>
      </c>
    </row>
    <row r="51" spans="1:6">
      <c r="A51" s="7">
        <f t="shared" si="3"/>
        <v>32</v>
      </c>
      <c r="B51" s="238">
        <f t="shared" si="4"/>
        <v>212.13103047814985</v>
      </c>
      <c r="C51" s="238">
        <f t="shared" si="5"/>
        <v>65.614041666666665</v>
      </c>
      <c r="D51" s="14">
        <f t="shared" si="0"/>
        <v>146.5169888114832</v>
      </c>
      <c r="E51" s="14">
        <f t="shared" si="1"/>
        <v>4399.1421836341297</v>
      </c>
      <c r="F51" s="14">
        <f t="shared" si="2"/>
        <v>15600.86</v>
      </c>
    </row>
    <row r="52" spans="1:6">
      <c r="A52" s="7">
        <f t="shared" si="3"/>
        <v>33</v>
      </c>
      <c r="B52" s="238">
        <f t="shared" si="4"/>
        <v>212.13103047814985</v>
      </c>
      <c r="C52" s="238">
        <f t="shared" si="5"/>
        <v>65.003583333333339</v>
      </c>
      <c r="D52" s="14">
        <f t="shared" si="0"/>
        <v>147.12744714481653</v>
      </c>
      <c r="E52" s="14">
        <f t="shared" si="1"/>
        <v>4546.2696307789465</v>
      </c>
      <c r="F52" s="14">
        <f t="shared" si="2"/>
        <v>15453.73</v>
      </c>
    </row>
    <row r="53" spans="1:6">
      <c r="A53" s="7">
        <f t="shared" si="3"/>
        <v>34</v>
      </c>
      <c r="B53" s="238">
        <f t="shared" si="4"/>
        <v>212.13103047814985</v>
      </c>
      <c r="C53" s="238">
        <f t="shared" si="5"/>
        <v>64.390541666666664</v>
      </c>
      <c r="D53" s="14">
        <f t="shared" si="0"/>
        <v>147.7404888114832</v>
      </c>
      <c r="E53" s="14">
        <f t="shared" si="1"/>
        <v>4694.0101195904299</v>
      </c>
      <c r="F53" s="14">
        <f t="shared" si="2"/>
        <v>15305.99</v>
      </c>
    </row>
    <row r="54" spans="1:6">
      <c r="A54" s="7">
        <f t="shared" si="3"/>
        <v>35</v>
      </c>
      <c r="B54" s="238">
        <f t="shared" si="4"/>
        <v>212.13103047814985</v>
      </c>
      <c r="C54" s="238">
        <f t="shared" si="5"/>
        <v>63.774958333333331</v>
      </c>
      <c r="D54" s="14">
        <f t="shared" si="0"/>
        <v>148.35607214481652</v>
      </c>
      <c r="E54" s="14">
        <f t="shared" si="1"/>
        <v>4842.3661917352465</v>
      </c>
      <c r="F54" s="14">
        <f t="shared" si="2"/>
        <v>15157.63</v>
      </c>
    </row>
    <row r="55" spans="1:6">
      <c r="A55" s="7">
        <f t="shared" si="3"/>
        <v>36</v>
      </c>
      <c r="B55" s="238">
        <f t="shared" si="4"/>
        <v>212.13103047814985</v>
      </c>
      <c r="C55" s="238">
        <f t="shared" si="5"/>
        <v>63.156791666666663</v>
      </c>
      <c r="D55" s="14">
        <f t="shared" si="0"/>
        <v>148.97423881148319</v>
      </c>
      <c r="E55" s="14">
        <f t="shared" si="1"/>
        <v>4991.3404305467293</v>
      </c>
      <c r="F55" s="14">
        <f t="shared" si="2"/>
        <v>15008.66</v>
      </c>
    </row>
    <row r="56" spans="1:6">
      <c r="A56" s="7">
        <f t="shared" si="3"/>
        <v>37</v>
      </c>
      <c r="B56" s="238">
        <f t="shared" si="4"/>
        <v>212.13103047814985</v>
      </c>
      <c r="C56" s="238">
        <f t="shared" si="5"/>
        <v>62.53608333333333</v>
      </c>
      <c r="D56" s="14">
        <f t="shared" si="0"/>
        <v>149.59494714481653</v>
      </c>
      <c r="E56" s="14">
        <f t="shared" si="1"/>
        <v>5140.9353776915459</v>
      </c>
      <c r="F56" s="14">
        <f t="shared" si="2"/>
        <v>14859.06</v>
      </c>
    </row>
    <row r="57" spans="1:6">
      <c r="A57" s="7">
        <f t="shared" si="3"/>
        <v>38</v>
      </c>
      <c r="B57" s="238">
        <f t="shared" si="4"/>
        <v>212.13103047814985</v>
      </c>
      <c r="C57" s="238">
        <f t="shared" si="5"/>
        <v>61.912749999999996</v>
      </c>
      <c r="D57" s="14">
        <f t="shared" si="0"/>
        <v>150.21828047814986</v>
      </c>
      <c r="E57" s="14">
        <f t="shared" si="1"/>
        <v>5291.1536581696955</v>
      </c>
      <c r="F57" s="14">
        <f t="shared" si="2"/>
        <v>14708.85</v>
      </c>
    </row>
    <row r="58" spans="1:6">
      <c r="A58" s="7">
        <f t="shared" si="3"/>
        <v>39</v>
      </c>
      <c r="B58" s="238">
        <f t="shared" si="4"/>
        <v>212.13103047814985</v>
      </c>
      <c r="C58" s="238">
        <f t="shared" si="5"/>
        <v>61.286875000000002</v>
      </c>
      <c r="D58" s="14">
        <f t="shared" si="0"/>
        <v>150.84415547814984</v>
      </c>
      <c r="E58" s="14">
        <f t="shared" si="1"/>
        <v>5441.9978136478458</v>
      </c>
      <c r="F58" s="14">
        <f t="shared" si="2"/>
        <v>14558</v>
      </c>
    </row>
    <row r="59" spans="1:6">
      <c r="A59" s="7">
        <f t="shared" si="3"/>
        <v>40</v>
      </c>
      <c r="B59" s="238">
        <f t="shared" si="4"/>
        <v>212.13103047814985</v>
      </c>
      <c r="C59" s="238">
        <f t="shared" si="5"/>
        <v>60.658333333333331</v>
      </c>
      <c r="D59" s="14">
        <f t="shared" si="0"/>
        <v>151.47269714481652</v>
      </c>
      <c r="E59" s="14">
        <f t="shared" si="1"/>
        <v>5593.470510792662</v>
      </c>
      <c r="F59" s="14">
        <f t="shared" si="2"/>
        <v>14406.53</v>
      </c>
    </row>
    <row r="60" spans="1:6">
      <c r="A60" s="7">
        <f t="shared" si="3"/>
        <v>41</v>
      </c>
      <c r="B60" s="238">
        <f t="shared" si="4"/>
        <v>212.13103047814985</v>
      </c>
      <c r="C60" s="238">
        <f t="shared" si="5"/>
        <v>60.027208333333334</v>
      </c>
      <c r="D60" s="14">
        <f t="shared" si="0"/>
        <v>152.10382214481652</v>
      </c>
      <c r="E60" s="14">
        <f t="shared" si="1"/>
        <v>5745.5743329374782</v>
      </c>
      <c r="F60" s="14">
        <f t="shared" si="2"/>
        <v>14254.43</v>
      </c>
    </row>
    <row r="61" spans="1:6">
      <c r="A61" s="7">
        <f t="shared" si="3"/>
        <v>42</v>
      </c>
      <c r="B61" s="238">
        <f t="shared" si="4"/>
        <v>212.13103047814985</v>
      </c>
      <c r="C61" s="238">
        <f t="shared" si="5"/>
        <v>59.393458333333335</v>
      </c>
      <c r="D61" s="14">
        <f t="shared" si="0"/>
        <v>152.73757214481651</v>
      </c>
      <c r="E61" s="14">
        <f t="shared" si="1"/>
        <v>5898.3119050822943</v>
      </c>
      <c r="F61" s="14">
        <f t="shared" si="2"/>
        <v>14101.69</v>
      </c>
    </row>
    <row r="62" spans="1:6">
      <c r="A62" s="7">
        <f t="shared" si="3"/>
        <v>43</v>
      </c>
      <c r="B62" s="238">
        <f t="shared" si="4"/>
        <v>212.13103047814985</v>
      </c>
      <c r="C62" s="238">
        <f t="shared" si="5"/>
        <v>58.757041666666666</v>
      </c>
      <c r="D62" s="14">
        <f t="shared" si="0"/>
        <v>153.37398881148317</v>
      </c>
      <c r="E62" s="14">
        <f t="shared" si="1"/>
        <v>6051.6858938937776</v>
      </c>
      <c r="F62" s="14">
        <f t="shared" si="2"/>
        <v>13948.31</v>
      </c>
    </row>
    <row r="63" spans="1:6">
      <c r="A63" s="7">
        <f t="shared" si="3"/>
        <v>44</v>
      </c>
      <c r="B63" s="238">
        <f t="shared" si="4"/>
        <v>212.13103047814985</v>
      </c>
      <c r="C63" s="238">
        <f t="shared" si="5"/>
        <v>58.117958333333327</v>
      </c>
      <c r="D63" s="14">
        <f t="shared" si="0"/>
        <v>154.01307214481653</v>
      </c>
      <c r="E63" s="14">
        <f t="shared" si="1"/>
        <v>6205.6989660385943</v>
      </c>
      <c r="F63" s="14">
        <f t="shared" si="2"/>
        <v>13794.3</v>
      </c>
    </row>
    <row r="64" spans="1:6">
      <c r="A64" s="7">
        <f t="shared" si="3"/>
        <v>45</v>
      </c>
      <c r="B64" s="238">
        <f t="shared" si="4"/>
        <v>212.13103047814985</v>
      </c>
      <c r="C64" s="238">
        <f t="shared" si="5"/>
        <v>57.476249999999993</v>
      </c>
      <c r="D64" s="14">
        <f t="shared" si="0"/>
        <v>154.65478047814986</v>
      </c>
      <c r="E64" s="14">
        <f t="shared" si="1"/>
        <v>6360.3537465167446</v>
      </c>
      <c r="F64" s="14">
        <f t="shared" si="2"/>
        <v>13639.65</v>
      </c>
    </row>
    <row r="65" spans="1:6">
      <c r="A65" s="7">
        <f t="shared" si="3"/>
        <v>46</v>
      </c>
      <c r="B65" s="238">
        <f t="shared" si="4"/>
        <v>212.13103047814985</v>
      </c>
      <c r="C65" s="238">
        <f t="shared" si="5"/>
        <v>56.831874999999997</v>
      </c>
      <c r="D65" s="14">
        <f t="shared" si="0"/>
        <v>155.29915547814986</v>
      </c>
      <c r="E65" s="14">
        <f t="shared" si="1"/>
        <v>6515.6529019948948</v>
      </c>
      <c r="F65" s="14">
        <f t="shared" si="2"/>
        <v>13484.35</v>
      </c>
    </row>
    <row r="66" spans="1:6">
      <c r="A66" s="7">
        <f t="shared" si="3"/>
        <v>47</v>
      </c>
      <c r="B66" s="238">
        <f t="shared" si="4"/>
        <v>212.13103047814985</v>
      </c>
      <c r="C66" s="238">
        <f t="shared" si="5"/>
        <v>56.184791666666669</v>
      </c>
      <c r="D66" s="14">
        <f t="shared" si="0"/>
        <v>155.94623881148317</v>
      </c>
      <c r="E66" s="14">
        <f t="shared" si="1"/>
        <v>6671.5991408063783</v>
      </c>
      <c r="F66" s="14">
        <f t="shared" si="2"/>
        <v>13328.4</v>
      </c>
    </row>
    <row r="67" spans="1:6">
      <c r="A67" s="7">
        <f t="shared" si="3"/>
        <v>48</v>
      </c>
      <c r="B67" s="238">
        <f t="shared" si="4"/>
        <v>212.13103047814985</v>
      </c>
      <c r="C67" s="238">
        <f t="shared" si="5"/>
        <v>55.534999999999997</v>
      </c>
      <c r="D67" s="14">
        <f t="shared" si="0"/>
        <v>156.59603047814986</v>
      </c>
      <c r="E67" s="14">
        <f t="shared" si="1"/>
        <v>6828.1951712845284</v>
      </c>
      <c r="F67" s="14">
        <f t="shared" si="2"/>
        <v>13171.8</v>
      </c>
    </row>
    <row r="68" spans="1:6">
      <c r="A68" s="7">
        <f t="shared" si="3"/>
        <v>49</v>
      </c>
      <c r="B68" s="238">
        <f t="shared" si="4"/>
        <v>212.13103047814985</v>
      </c>
      <c r="C68" s="238">
        <f t="shared" si="5"/>
        <v>54.882499999999993</v>
      </c>
      <c r="D68" s="14">
        <f t="shared" si="0"/>
        <v>157.24853047814986</v>
      </c>
      <c r="E68" s="14">
        <f t="shared" si="1"/>
        <v>6985.4437017626788</v>
      </c>
      <c r="F68" s="14">
        <f t="shared" si="2"/>
        <v>13014.56</v>
      </c>
    </row>
    <row r="69" spans="1:6">
      <c r="A69" s="7">
        <f t="shared" si="3"/>
        <v>50</v>
      </c>
      <c r="B69" s="238">
        <f t="shared" si="4"/>
        <v>212.13103047814985</v>
      </c>
      <c r="C69" s="238">
        <f t="shared" si="5"/>
        <v>54.227333333333327</v>
      </c>
      <c r="D69" s="14">
        <f t="shared" si="0"/>
        <v>157.90369714481653</v>
      </c>
      <c r="E69" s="14">
        <f t="shared" si="1"/>
        <v>7143.3473989074955</v>
      </c>
      <c r="F69" s="14">
        <f t="shared" si="2"/>
        <v>12856.65</v>
      </c>
    </row>
    <row r="70" spans="1:6">
      <c r="A70" s="7">
        <f t="shared" si="3"/>
        <v>51</v>
      </c>
      <c r="B70" s="238">
        <f t="shared" si="4"/>
        <v>212.13103047814985</v>
      </c>
      <c r="C70" s="238">
        <f t="shared" si="5"/>
        <v>53.569375000000001</v>
      </c>
      <c r="D70" s="14">
        <f t="shared" si="0"/>
        <v>158.56165547814985</v>
      </c>
      <c r="E70" s="14">
        <f t="shared" si="1"/>
        <v>7301.9090543856455</v>
      </c>
      <c r="F70" s="14">
        <f t="shared" si="2"/>
        <v>12698.09</v>
      </c>
    </row>
    <row r="71" spans="1:6">
      <c r="A71" s="7">
        <f t="shared" si="3"/>
        <v>52</v>
      </c>
      <c r="B71" s="238">
        <f t="shared" si="4"/>
        <v>212.13103047814985</v>
      </c>
      <c r="C71" s="238">
        <f t="shared" si="5"/>
        <v>52.90870833333333</v>
      </c>
      <c r="D71" s="14">
        <f t="shared" si="0"/>
        <v>159.22232214481653</v>
      </c>
      <c r="E71" s="14">
        <f t="shared" si="1"/>
        <v>7461.1313765304621</v>
      </c>
      <c r="F71" s="14">
        <f t="shared" si="2"/>
        <v>12538.87</v>
      </c>
    </row>
    <row r="72" spans="1:6">
      <c r="A72" s="7">
        <f t="shared" si="3"/>
        <v>53</v>
      </c>
      <c r="B72" s="238">
        <f t="shared" si="4"/>
        <v>212.13103047814985</v>
      </c>
      <c r="C72" s="238">
        <f t="shared" si="5"/>
        <v>52.245291666666667</v>
      </c>
      <c r="D72" s="14">
        <f t="shared" si="0"/>
        <v>159.88573881148318</v>
      </c>
      <c r="E72" s="14">
        <f t="shared" si="1"/>
        <v>7621.0171153419451</v>
      </c>
      <c r="F72" s="14">
        <f t="shared" si="2"/>
        <v>12378.98</v>
      </c>
    </row>
    <row r="73" spans="1:6">
      <c r="A73" s="7">
        <f t="shared" si="3"/>
        <v>54</v>
      </c>
      <c r="B73" s="238">
        <f t="shared" si="4"/>
        <v>212.13103047814985</v>
      </c>
      <c r="C73" s="238">
        <f t="shared" si="5"/>
        <v>51.57908333333333</v>
      </c>
      <c r="D73" s="14">
        <f t="shared" si="0"/>
        <v>160.55194714481652</v>
      </c>
      <c r="E73" s="14">
        <f t="shared" si="1"/>
        <v>7781.569062486762</v>
      </c>
      <c r="F73" s="14">
        <f t="shared" si="2"/>
        <v>12218.43</v>
      </c>
    </row>
    <row r="74" spans="1:6">
      <c r="A74" s="7">
        <f t="shared" si="3"/>
        <v>55</v>
      </c>
      <c r="B74" s="238">
        <f t="shared" si="4"/>
        <v>212.13103047814985</v>
      </c>
      <c r="C74" s="238">
        <f t="shared" si="5"/>
        <v>50.910125000000001</v>
      </c>
      <c r="D74" s="14">
        <f t="shared" si="0"/>
        <v>161.22090547814986</v>
      </c>
      <c r="E74" s="14">
        <f t="shared" si="1"/>
        <v>7942.7899679649117</v>
      </c>
      <c r="F74" s="14">
        <f t="shared" si="2"/>
        <v>12057.21</v>
      </c>
    </row>
    <row r="75" spans="1:6">
      <c r="A75" s="7">
        <f t="shared" si="3"/>
        <v>56</v>
      </c>
      <c r="B75" s="238">
        <f t="shared" si="4"/>
        <v>212.13103047814985</v>
      </c>
      <c r="C75" s="238">
        <f t="shared" si="5"/>
        <v>50.238374999999998</v>
      </c>
      <c r="D75" s="14">
        <f t="shared" si="0"/>
        <v>161.89265547814986</v>
      </c>
      <c r="E75" s="14">
        <f t="shared" si="1"/>
        <v>8104.6826234430619</v>
      </c>
      <c r="F75" s="14">
        <f t="shared" si="2"/>
        <v>11895.32</v>
      </c>
    </row>
    <row r="76" spans="1:6">
      <c r="A76" s="7">
        <f t="shared" si="3"/>
        <v>57</v>
      </c>
      <c r="B76" s="238">
        <f t="shared" si="4"/>
        <v>212.13103047814985</v>
      </c>
      <c r="C76" s="238">
        <f t="shared" si="5"/>
        <v>49.563833333333335</v>
      </c>
      <c r="D76" s="14">
        <f t="shared" si="0"/>
        <v>162.56719714481653</v>
      </c>
      <c r="E76" s="14">
        <f t="shared" si="1"/>
        <v>8267.2498205878783</v>
      </c>
      <c r="F76" s="14">
        <f t="shared" si="2"/>
        <v>11732.75</v>
      </c>
    </row>
    <row r="77" spans="1:6">
      <c r="A77" s="7">
        <f t="shared" si="3"/>
        <v>58</v>
      </c>
      <c r="B77" s="238">
        <f t="shared" si="4"/>
        <v>212.13103047814985</v>
      </c>
      <c r="C77" s="238">
        <f t="shared" si="5"/>
        <v>48.88645833333333</v>
      </c>
      <c r="D77" s="14">
        <f t="shared" si="0"/>
        <v>163.24457214481652</v>
      </c>
      <c r="E77" s="14">
        <f t="shared" si="1"/>
        <v>8430.4943927326949</v>
      </c>
      <c r="F77" s="14">
        <f t="shared" si="2"/>
        <v>11569.51</v>
      </c>
    </row>
    <row r="78" spans="1:6">
      <c r="A78" s="7">
        <f t="shared" si="3"/>
        <v>59</v>
      </c>
      <c r="B78" s="238">
        <f t="shared" si="4"/>
        <v>212.13103047814985</v>
      </c>
      <c r="C78" s="238">
        <f t="shared" si="5"/>
        <v>48.206291666666665</v>
      </c>
      <c r="D78" s="14">
        <f t="shared" si="0"/>
        <v>163.92473881148319</v>
      </c>
      <c r="E78" s="14">
        <f t="shared" si="1"/>
        <v>8594.4191315441785</v>
      </c>
      <c r="F78" s="14">
        <f t="shared" si="2"/>
        <v>11405.58</v>
      </c>
    </row>
    <row r="79" spans="1:6">
      <c r="A79" s="7">
        <f t="shared" si="3"/>
        <v>60</v>
      </c>
      <c r="B79" s="238">
        <f t="shared" si="4"/>
        <v>212.13103047814985</v>
      </c>
      <c r="C79" s="238">
        <f t="shared" si="5"/>
        <v>47.523249999999997</v>
      </c>
      <c r="D79" s="14">
        <f t="shared" si="0"/>
        <v>164.60778047814986</v>
      </c>
      <c r="E79" s="14">
        <f t="shared" si="1"/>
        <v>8759.0269120223293</v>
      </c>
      <c r="F79" s="14">
        <f t="shared" si="2"/>
        <v>11240.97</v>
      </c>
    </row>
    <row r="80" spans="1:6">
      <c r="A80" s="7">
        <f t="shared" si="3"/>
        <v>61</v>
      </c>
      <c r="B80" s="238">
        <f t="shared" si="4"/>
        <v>212.13103047814985</v>
      </c>
      <c r="C80" s="238">
        <f t="shared" si="5"/>
        <v>46.837374999999994</v>
      </c>
      <c r="D80" s="14">
        <f t="shared" si="0"/>
        <v>165.29365547814984</v>
      </c>
      <c r="E80" s="14">
        <f t="shared" si="1"/>
        <v>8924.3205675004792</v>
      </c>
      <c r="F80" s="14">
        <f t="shared" si="2"/>
        <v>11075.68</v>
      </c>
    </row>
    <row r="81" spans="1:6">
      <c r="A81" s="7">
        <f t="shared" si="3"/>
        <v>62</v>
      </c>
      <c r="B81" s="238">
        <f t="shared" si="4"/>
        <v>212.13103047814985</v>
      </c>
      <c r="C81" s="238">
        <f t="shared" si="5"/>
        <v>46.148666666666671</v>
      </c>
      <c r="D81" s="14">
        <f t="shared" si="0"/>
        <v>165.9823638114832</v>
      </c>
      <c r="E81" s="14">
        <f t="shared" si="1"/>
        <v>9090.3029313119623</v>
      </c>
      <c r="F81" s="14">
        <f t="shared" si="2"/>
        <v>10909.7</v>
      </c>
    </row>
    <row r="82" spans="1:6">
      <c r="A82" s="7">
        <f t="shared" si="3"/>
        <v>63</v>
      </c>
      <c r="B82" s="238">
        <f t="shared" si="4"/>
        <v>212.13103047814985</v>
      </c>
      <c r="C82" s="238">
        <f t="shared" si="5"/>
        <v>45.457083333333337</v>
      </c>
      <c r="D82" s="14">
        <f t="shared" si="0"/>
        <v>166.67394714481651</v>
      </c>
      <c r="E82" s="14">
        <f t="shared" si="1"/>
        <v>9256.9768784567786</v>
      </c>
      <c r="F82" s="14">
        <f t="shared" si="2"/>
        <v>10743.02</v>
      </c>
    </row>
    <row r="83" spans="1:6">
      <c r="A83" s="7">
        <f t="shared" si="3"/>
        <v>64</v>
      </c>
      <c r="B83" s="238">
        <f t="shared" si="4"/>
        <v>212.13103047814985</v>
      </c>
      <c r="C83" s="238">
        <f t="shared" si="5"/>
        <v>44.762583333333332</v>
      </c>
      <c r="D83" s="14">
        <f t="shared" si="0"/>
        <v>167.36844714481651</v>
      </c>
      <c r="E83" s="14">
        <f t="shared" si="1"/>
        <v>9424.3453256015946</v>
      </c>
      <c r="F83" s="14">
        <f t="shared" si="2"/>
        <v>10575.65</v>
      </c>
    </row>
    <row r="84" spans="1:6">
      <c r="A84" s="7">
        <f t="shared" si="3"/>
        <v>65</v>
      </c>
      <c r="B84" s="238">
        <f t="shared" si="4"/>
        <v>212.13103047814985</v>
      </c>
      <c r="C84" s="238">
        <f t="shared" si="5"/>
        <v>44.065208333333331</v>
      </c>
      <c r="D84" s="14">
        <f t="shared" ref="D84:D147" si="6">IF(A84&lt;=$E$9,$E$13-C84,"")</f>
        <v>168.06582214481654</v>
      </c>
      <c r="E84" s="14">
        <f t="shared" ref="E84:E147" si="7">IF(A84&lt;=$E$9,E83+D84,"")</f>
        <v>9592.4111477464103</v>
      </c>
      <c r="F84" s="14">
        <f t="shared" ref="F84:F147" si="8">IF(A84&lt;=$E$9,ROUND(($F$19-E84),2),"")</f>
        <v>10407.59</v>
      </c>
    </row>
    <row r="85" spans="1:6">
      <c r="A85" s="7">
        <f t="shared" ref="A85:A148" si="9">IF(A84&lt;$E$9,A84+1,"")</f>
        <v>66</v>
      </c>
      <c r="B85" s="238">
        <f t="shared" ref="B85:B148" si="10">IF(A85&lt;=$E$9,C85+D85,"0,00")</f>
        <v>212.13103047814985</v>
      </c>
      <c r="C85" s="238">
        <f t="shared" ref="C85:C148" si="11">IF(A85&lt;=$E$9,F84*($E$8/$E$10),"0,00")</f>
        <v>43.364958333333334</v>
      </c>
      <c r="D85" s="14">
        <f t="shared" si="6"/>
        <v>168.76607214481652</v>
      </c>
      <c r="E85" s="14">
        <f t="shared" si="7"/>
        <v>9761.1772198912277</v>
      </c>
      <c r="F85" s="14">
        <f t="shared" si="8"/>
        <v>10238.82</v>
      </c>
    </row>
    <row r="86" spans="1:6">
      <c r="A86" s="7">
        <f t="shared" si="9"/>
        <v>67</v>
      </c>
      <c r="B86" s="238">
        <f t="shared" si="10"/>
        <v>212.13103047814985</v>
      </c>
      <c r="C86" s="238">
        <f t="shared" si="11"/>
        <v>42.661749999999998</v>
      </c>
      <c r="D86" s="14">
        <f t="shared" si="6"/>
        <v>169.46928047814987</v>
      </c>
      <c r="E86" s="14">
        <f t="shared" si="7"/>
        <v>9930.6465003693775</v>
      </c>
      <c r="F86" s="14">
        <f t="shared" si="8"/>
        <v>10069.35</v>
      </c>
    </row>
    <row r="87" spans="1:6">
      <c r="A87" s="7">
        <f t="shared" si="9"/>
        <v>68</v>
      </c>
      <c r="B87" s="238">
        <f t="shared" si="10"/>
        <v>212.13103047814985</v>
      </c>
      <c r="C87" s="238">
        <f t="shared" si="11"/>
        <v>41.955624999999998</v>
      </c>
      <c r="D87" s="14">
        <f t="shared" si="6"/>
        <v>170.17540547814986</v>
      </c>
      <c r="E87" s="14">
        <f t="shared" si="7"/>
        <v>10100.821905847528</v>
      </c>
      <c r="F87" s="14">
        <f t="shared" si="8"/>
        <v>9899.18</v>
      </c>
    </row>
    <row r="88" spans="1:6">
      <c r="A88" s="7">
        <f t="shared" si="9"/>
        <v>69</v>
      </c>
      <c r="B88" s="238">
        <f t="shared" si="10"/>
        <v>212.13103047814985</v>
      </c>
      <c r="C88" s="238">
        <f t="shared" si="11"/>
        <v>41.246583333333334</v>
      </c>
      <c r="D88" s="14">
        <f t="shared" si="6"/>
        <v>170.88444714481653</v>
      </c>
      <c r="E88" s="14">
        <f t="shared" si="7"/>
        <v>10271.706352992345</v>
      </c>
      <c r="F88" s="14">
        <f t="shared" si="8"/>
        <v>9728.2900000000009</v>
      </c>
    </row>
    <row r="89" spans="1:6">
      <c r="A89" s="7">
        <f t="shared" si="9"/>
        <v>70</v>
      </c>
      <c r="B89" s="238">
        <f t="shared" si="10"/>
        <v>212.13103047814985</v>
      </c>
      <c r="C89" s="238">
        <f t="shared" si="11"/>
        <v>40.534541666666669</v>
      </c>
      <c r="D89" s="14">
        <f t="shared" si="6"/>
        <v>171.5964888114832</v>
      </c>
      <c r="E89" s="14">
        <f t="shared" si="7"/>
        <v>10443.302841803828</v>
      </c>
      <c r="F89" s="14">
        <f t="shared" si="8"/>
        <v>9556.7000000000007</v>
      </c>
    </row>
    <row r="90" spans="1:6">
      <c r="A90" s="7">
        <f t="shared" si="9"/>
        <v>71</v>
      </c>
      <c r="B90" s="238">
        <f t="shared" si="10"/>
        <v>212.13103047814985</v>
      </c>
      <c r="C90" s="238">
        <f t="shared" si="11"/>
        <v>39.819583333333334</v>
      </c>
      <c r="D90" s="14">
        <f t="shared" si="6"/>
        <v>172.31144714481653</v>
      </c>
      <c r="E90" s="14">
        <f t="shared" si="7"/>
        <v>10615.614288948645</v>
      </c>
      <c r="F90" s="14">
        <f t="shared" si="8"/>
        <v>9384.39</v>
      </c>
    </row>
    <row r="91" spans="1:6">
      <c r="A91" s="7">
        <f t="shared" si="9"/>
        <v>72</v>
      </c>
      <c r="B91" s="238">
        <f t="shared" si="10"/>
        <v>212.13103047814985</v>
      </c>
      <c r="C91" s="238">
        <f t="shared" si="11"/>
        <v>39.101624999999999</v>
      </c>
      <c r="D91" s="14">
        <f t="shared" si="6"/>
        <v>173.02940547814984</v>
      </c>
      <c r="E91" s="14">
        <f t="shared" si="7"/>
        <v>10788.643694426795</v>
      </c>
      <c r="F91" s="14">
        <f t="shared" si="8"/>
        <v>9211.36</v>
      </c>
    </row>
    <row r="92" spans="1:6">
      <c r="A92" s="7">
        <f t="shared" si="9"/>
        <v>73</v>
      </c>
      <c r="B92" s="238">
        <f t="shared" si="10"/>
        <v>212.13103047814985</v>
      </c>
      <c r="C92" s="238">
        <f t="shared" si="11"/>
        <v>38.38066666666667</v>
      </c>
      <c r="D92" s="14">
        <f t="shared" si="6"/>
        <v>173.75036381148317</v>
      </c>
      <c r="E92" s="14">
        <f t="shared" si="7"/>
        <v>10962.394058238278</v>
      </c>
      <c r="F92" s="14">
        <f t="shared" si="8"/>
        <v>9037.61</v>
      </c>
    </row>
    <row r="93" spans="1:6">
      <c r="A93" s="7">
        <f t="shared" si="9"/>
        <v>74</v>
      </c>
      <c r="B93" s="238">
        <f t="shared" si="10"/>
        <v>212.13103047814985</v>
      </c>
      <c r="C93" s="238">
        <f t="shared" si="11"/>
        <v>37.656708333333334</v>
      </c>
      <c r="D93" s="14">
        <f t="shared" si="6"/>
        <v>174.47432214481651</v>
      </c>
      <c r="E93" s="14">
        <f t="shared" si="7"/>
        <v>11136.868380383095</v>
      </c>
      <c r="F93" s="14">
        <f t="shared" si="8"/>
        <v>8863.1299999999992</v>
      </c>
    </row>
    <row r="94" spans="1:6">
      <c r="A94" s="7">
        <f t="shared" si="9"/>
        <v>75</v>
      </c>
      <c r="B94" s="238">
        <f t="shared" si="10"/>
        <v>212.13103047814985</v>
      </c>
      <c r="C94" s="238">
        <f t="shared" si="11"/>
        <v>36.92970833333333</v>
      </c>
      <c r="D94" s="14">
        <f t="shared" si="6"/>
        <v>175.20132214481652</v>
      </c>
      <c r="E94" s="14">
        <f t="shared" si="7"/>
        <v>11312.069702527911</v>
      </c>
      <c r="F94" s="14">
        <f t="shared" si="8"/>
        <v>8687.93</v>
      </c>
    </row>
    <row r="95" spans="1:6">
      <c r="A95" s="7">
        <f t="shared" si="9"/>
        <v>76</v>
      </c>
      <c r="B95" s="238">
        <f t="shared" si="10"/>
        <v>212.13103047814985</v>
      </c>
      <c r="C95" s="238">
        <f t="shared" si="11"/>
        <v>36.199708333333334</v>
      </c>
      <c r="D95" s="14">
        <f t="shared" si="6"/>
        <v>175.93132214481653</v>
      </c>
      <c r="E95" s="14">
        <f t="shared" si="7"/>
        <v>11488.001024672729</v>
      </c>
      <c r="F95" s="14">
        <f t="shared" si="8"/>
        <v>8512</v>
      </c>
    </row>
    <row r="96" spans="1:6">
      <c r="A96" s="7">
        <f t="shared" si="9"/>
        <v>77</v>
      </c>
      <c r="B96" s="238">
        <f t="shared" si="10"/>
        <v>212.13103047814985</v>
      </c>
      <c r="C96" s="238">
        <f t="shared" si="11"/>
        <v>35.466666666666669</v>
      </c>
      <c r="D96" s="14">
        <f t="shared" si="6"/>
        <v>176.66436381148318</v>
      </c>
      <c r="E96" s="14">
        <f t="shared" si="7"/>
        <v>11664.665388484213</v>
      </c>
      <c r="F96" s="14">
        <f t="shared" si="8"/>
        <v>8335.33</v>
      </c>
    </row>
    <row r="97" spans="1:6">
      <c r="A97" s="7">
        <f t="shared" si="9"/>
        <v>78</v>
      </c>
      <c r="B97" s="238">
        <f t="shared" si="10"/>
        <v>212.13103047814985</v>
      </c>
      <c r="C97" s="238">
        <f t="shared" si="11"/>
        <v>34.730541666666667</v>
      </c>
      <c r="D97" s="14">
        <f t="shared" si="6"/>
        <v>177.40048881148317</v>
      </c>
      <c r="E97" s="14">
        <f t="shared" si="7"/>
        <v>11842.065877295696</v>
      </c>
      <c r="F97" s="14">
        <f t="shared" si="8"/>
        <v>8157.93</v>
      </c>
    </row>
    <row r="98" spans="1:6">
      <c r="A98" s="7">
        <f t="shared" si="9"/>
        <v>79</v>
      </c>
      <c r="B98" s="238">
        <f t="shared" si="10"/>
        <v>212.13103047814985</v>
      </c>
      <c r="C98" s="238">
        <f t="shared" si="11"/>
        <v>33.991374999999998</v>
      </c>
      <c r="D98" s="14">
        <f t="shared" si="6"/>
        <v>178.13965547814985</v>
      </c>
      <c r="E98" s="14">
        <f t="shared" si="7"/>
        <v>12020.205532773845</v>
      </c>
      <c r="F98" s="14">
        <f t="shared" si="8"/>
        <v>7979.79</v>
      </c>
    </row>
    <row r="99" spans="1:6">
      <c r="A99" s="7">
        <f t="shared" si="9"/>
        <v>80</v>
      </c>
      <c r="B99" s="238">
        <f t="shared" si="10"/>
        <v>212.13103047814985</v>
      </c>
      <c r="C99" s="238">
        <f t="shared" si="11"/>
        <v>33.249124999999999</v>
      </c>
      <c r="D99" s="14">
        <f t="shared" si="6"/>
        <v>178.88190547814986</v>
      </c>
      <c r="E99" s="14">
        <f t="shared" si="7"/>
        <v>12199.087438251996</v>
      </c>
      <c r="F99" s="14">
        <f t="shared" si="8"/>
        <v>7800.91</v>
      </c>
    </row>
    <row r="100" spans="1:6">
      <c r="A100" s="7">
        <f t="shared" si="9"/>
        <v>81</v>
      </c>
      <c r="B100" s="238">
        <f t="shared" si="10"/>
        <v>212.13103047814985</v>
      </c>
      <c r="C100" s="238">
        <f t="shared" si="11"/>
        <v>32.503791666666665</v>
      </c>
      <c r="D100" s="14">
        <f t="shared" si="6"/>
        <v>179.62723881148318</v>
      </c>
      <c r="E100" s="14">
        <f t="shared" si="7"/>
        <v>12378.714677063479</v>
      </c>
      <c r="F100" s="14">
        <f t="shared" si="8"/>
        <v>7621.29</v>
      </c>
    </row>
    <row r="101" spans="1:6">
      <c r="A101" s="7">
        <f t="shared" si="9"/>
        <v>82</v>
      </c>
      <c r="B101" s="238">
        <f t="shared" si="10"/>
        <v>212.13103047814985</v>
      </c>
      <c r="C101" s="238">
        <f t="shared" si="11"/>
        <v>31.755375000000001</v>
      </c>
      <c r="D101" s="14">
        <f t="shared" si="6"/>
        <v>180.37565547814984</v>
      </c>
      <c r="E101" s="14">
        <f t="shared" si="7"/>
        <v>12559.090332541629</v>
      </c>
      <c r="F101" s="14">
        <f t="shared" si="8"/>
        <v>7440.91</v>
      </c>
    </row>
    <row r="102" spans="1:6">
      <c r="A102" s="7">
        <f t="shared" si="9"/>
        <v>83</v>
      </c>
      <c r="B102" s="238">
        <f t="shared" si="10"/>
        <v>212.13103047814985</v>
      </c>
      <c r="C102" s="238">
        <f t="shared" si="11"/>
        <v>31.003791666666665</v>
      </c>
      <c r="D102" s="14">
        <f t="shared" si="6"/>
        <v>181.12723881148318</v>
      </c>
      <c r="E102" s="14">
        <f t="shared" si="7"/>
        <v>12740.217571353112</v>
      </c>
      <c r="F102" s="14">
        <f t="shared" si="8"/>
        <v>7259.78</v>
      </c>
    </row>
    <row r="103" spans="1:6">
      <c r="A103" s="7">
        <f t="shared" si="9"/>
        <v>84</v>
      </c>
      <c r="B103" s="238">
        <f t="shared" si="10"/>
        <v>212.13103047814985</v>
      </c>
      <c r="C103" s="238">
        <f t="shared" si="11"/>
        <v>30.249083333333331</v>
      </c>
      <c r="D103" s="14">
        <f t="shared" si="6"/>
        <v>181.88194714481654</v>
      </c>
      <c r="E103" s="14">
        <f t="shared" si="7"/>
        <v>12922.099518497929</v>
      </c>
      <c r="F103" s="14">
        <f t="shared" si="8"/>
        <v>7077.9</v>
      </c>
    </row>
    <row r="104" spans="1:6">
      <c r="A104" s="7">
        <f t="shared" si="9"/>
        <v>85</v>
      </c>
      <c r="B104" s="238">
        <f t="shared" si="10"/>
        <v>212.13103047814985</v>
      </c>
      <c r="C104" s="238">
        <f t="shared" si="11"/>
        <v>29.491249999999997</v>
      </c>
      <c r="D104" s="14">
        <f t="shared" si="6"/>
        <v>182.63978047814985</v>
      </c>
      <c r="E104" s="14">
        <f t="shared" si="7"/>
        <v>13104.739298976079</v>
      </c>
      <c r="F104" s="14">
        <f t="shared" si="8"/>
        <v>6895.26</v>
      </c>
    </row>
    <row r="105" spans="1:6">
      <c r="A105" s="7">
        <f t="shared" si="9"/>
        <v>86</v>
      </c>
      <c r="B105" s="238">
        <f t="shared" si="10"/>
        <v>212.13103047814985</v>
      </c>
      <c r="C105" s="238">
        <f t="shared" si="11"/>
        <v>28.730250000000002</v>
      </c>
      <c r="D105" s="14">
        <f t="shared" si="6"/>
        <v>183.40078047814984</v>
      </c>
      <c r="E105" s="14">
        <f t="shared" si="7"/>
        <v>13288.14007945423</v>
      </c>
      <c r="F105" s="14">
        <f t="shared" si="8"/>
        <v>6711.86</v>
      </c>
    </row>
    <row r="106" spans="1:6">
      <c r="A106" s="7">
        <f t="shared" si="9"/>
        <v>87</v>
      </c>
      <c r="B106" s="238">
        <f t="shared" si="10"/>
        <v>212.13103047814985</v>
      </c>
      <c r="C106" s="238">
        <f t="shared" si="11"/>
        <v>27.96608333333333</v>
      </c>
      <c r="D106" s="14">
        <f t="shared" si="6"/>
        <v>184.16494714481652</v>
      </c>
      <c r="E106" s="14">
        <f t="shared" si="7"/>
        <v>13472.305026599046</v>
      </c>
      <c r="F106" s="14">
        <f t="shared" si="8"/>
        <v>6527.69</v>
      </c>
    </row>
    <row r="107" spans="1:6">
      <c r="A107" s="7">
        <f t="shared" si="9"/>
        <v>88</v>
      </c>
      <c r="B107" s="238">
        <f t="shared" si="10"/>
        <v>212.13103047814985</v>
      </c>
      <c r="C107" s="238">
        <f t="shared" si="11"/>
        <v>27.198708333333332</v>
      </c>
      <c r="D107" s="14">
        <f t="shared" si="6"/>
        <v>184.93232214481651</v>
      </c>
      <c r="E107" s="14">
        <f t="shared" si="7"/>
        <v>13657.237348743862</v>
      </c>
      <c r="F107" s="14">
        <f t="shared" si="8"/>
        <v>6342.76</v>
      </c>
    </row>
    <row r="108" spans="1:6">
      <c r="A108" s="7">
        <f t="shared" si="9"/>
        <v>89</v>
      </c>
      <c r="B108" s="238">
        <f t="shared" si="10"/>
        <v>212.13103047814985</v>
      </c>
      <c r="C108" s="238">
        <f t="shared" si="11"/>
        <v>26.428166666666666</v>
      </c>
      <c r="D108" s="14">
        <f t="shared" si="6"/>
        <v>185.70286381148318</v>
      </c>
      <c r="E108" s="14">
        <f t="shared" si="7"/>
        <v>13842.940212555344</v>
      </c>
      <c r="F108" s="14">
        <f t="shared" si="8"/>
        <v>6157.06</v>
      </c>
    </row>
    <row r="109" spans="1:6">
      <c r="A109" s="7">
        <f t="shared" si="9"/>
        <v>90</v>
      </c>
      <c r="B109" s="238">
        <f t="shared" si="10"/>
        <v>212.13103047814985</v>
      </c>
      <c r="C109" s="238">
        <f t="shared" si="11"/>
        <v>25.65441666666667</v>
      </c>
      <c r="D109" s="14">
        <f t="shared" si="6"/>
        <v>186.47661381148319</v>
      </c>
      <c r="E109" s="14">
        <f t="shared" si="7"/>
        <v>14029.416826366827</v>
      </c>
      <c r="F109" s="14">
        <f t="shared" si="8"/>
        <v>5970.58</v>
      </c>
    </row>
    <row r="110" spans="1:6">
      <c r="A110" s="7">
        <f t="shared" si="9"/>
        <v>91</v>
      </c>
      <c r="B110" s="238">
        <f t="shared" si="10"/>
        <v>212.13103047814985</v>
      </c>
      <c r="C110" s="238">
        <f t="shared" si="11"/>
        <v>24.877416666666665</v>
      </c>
      <c r="D110" s="14">
        <f t="shared" si="6"/>
        <v>187.25361381148318</v>
      </c>
      <c r="E110" s="14">
        <f t="shared" si="7"/>
        <v>14216.67044017831</v>
      </c>
      <c r="F110" s="14">
        <f t="shared" si="8"/>
        <v>5783.33</v>
      </c>
    </row>
    <row r="111" spans="1:6">
      <c r="A111" s="7">
        <f t="shared" si="9"/>
        <v>92</v>
      </c>
      <c r="B111" s="238">
        <f t="shared" si="10"/>
        <v>212.13103047814985</v>
      </c>
      <c r="C111" s="238">
        <f t="shared" si="11"/>
        <v>24.097208333333334</v>
      </c>
      <c r="D111" s="14">
        <f t="shared" si="6"/>
        <v>188.03382214481653</v>
      </c>
      <c r="E111" s="14">
        <f t="shared" si="7"/>
        <v>14404.704262323126</v>
      </c>
      <c r="F111" s="14">
        <f t="shared" si="8"/>
        <v>5595.3</v>
      </c>
    </row>
    <row r="112" spans="1:6">
      <c r="A112" s="7">
        <f t="shared" si="9"/>
        <v>93</v>
      </c>
      <c r="B112" s="238">
        <f t="shared" si="10"/>
        <v>212.13103047814985</v>
      </c>
      <c r="C112" s="238">
        <f t="shared" si="11"/>
        <v>23.313749999999999</v>
      </c>
      <c r="D112" s="14">
        <f t="shared" si="6"/>
        <v>188.81728047814985</v>
      </c>
      <c r="E112" s="14">
        <f t="shared" si="7"/>
        <v>14593.521542801276</v>
      </c>
      <c r="F112" s="14">
        <f t="shared" si="8"/>
        <v>5406.48</v>
      </c>
    </row>
    <row r="113" spans="1:6">
      <c r="A113" s="7">
        <f t="shared" si="9"/>
        <v>94</v>
      </c>
      <c r="B113" s="238">
        <f t="shared" si="10"/>
        <v>212.13103047814985</v>
      </c>
      <c r="C113" s="238">
        <f t="shared" si="11"/>
        <v>22.526999999999997</v>
      </c>
      <c r="D113" s="14">
        <f t="shared" si="6"/>
        <v>189.60403047814987</v>
      </c>
      <c r="E113" s="14">
        <f t="shared" si="7"/>
        <v>14783.125573279425</v>
      </c>
      <c r="F113" s="14">
        <f t="shared" si="8"/>
        <v>5216.87</v>
      </c>
    </row>
    <row r="114" spans="1:6">
      <c r="A114" s="7">
        <f t="shared" si="9"/>
        <v>95</v>
      </c>
      <c r="B114" s="238">
        <f t="shared" si="10"/>
        <v>212.13103047814985</v>
      </c>
      <c r="C114" s="238">
        <f t="shared" si="11"/>
        <v>21.736958333333334</v>
      </c>
      <c r="D114" s="14">
        <f t="shared" si="6"/>
        <v>190.3940721448165</v>
      </c>
      <c r="E114" s="14">
        <f t="shared" si="7"/>
        <v>14973.519645424241</v>
      </c>
      <c r="F114" s="14">
        <f t="shared" si="8"/>
        <v>5026.4799999999996</v>
      </c>
    </row>
    <row r="115" spans="1:6">
      <c r="A115" s="7">
        <f t="shared" si="9"/>
        <v>96</v>
      </c>
      <c r="B115" s="238">
        <f t="shared" si="10"/>
        <v>212.13103047814985</v>
      </c>
      <c r="C115" s="238">
        <f t="shared" si="11"/>
        <v>20.943666666666665</v>
      </c>
      <c r="D115" s="14">
        <f t="shared" si="6"/>
        <v>191.18736381148318</v>
      </c>
      <c r="E115" s="14">
        <f t="shared" si="7"/>
        <v>15164.707009235724</v>
      </c>
      <c r="F115" s="14">
        <f t="shared" si="8"/>
        <v>4835.29</v>
      </c>
    </row>
    <row r="116" spans="1:6">
      <c r="A116" s="7">
        <f t="shared" si="9"/>
        <v>97</v>
      </c>
      <c r="B116" s="238">
        <f t="shared" si="10"/>
        <v>212.13103047814985</v>
      </c>
      <c r="C116" s="238">
        <f t="shared" si="11"/>
        <v>20.147041666666667</v>
      </c>
      <c r="D116" s="14">
        <f t="shared" si="6"/>
        <v>191.98398881148319</v>
      </c>
      <c r="E116" s="14">
        <f t="shared" si="7"/>
        <v>15356.690998047208</v>
      </c>
      <c r="F116" s="14">
        <f t="shared" si="8"/>
        <v>4643.3100000000004</v>
      </c>
    </row>
    <row r="117" spans="1:6">
      <c r="A117" s="7">
        <f t="shared" si="9"/>
        <v>98</v>
      </c>
      <c r="B117" s="238">
        <f t="shared" si="10"/>
        <v>212.13103047814985</v>
      </c>
      <c r="C117" s="238">
        <f t="shared" si="11"/>
        <v>19.347125000000002</v>
      </c>
      <c r="D117" s="14">
        <f t="shared" si="6"/>
        <v>192.78390547814985</v>
      </c>
      <c r="E117" s="14">
        <f t="shared" si="7"/>
        <v>15549.474903525359</v>
      </c>
      <c r="F117" s="14">
        <f t="shared" si="8"/>
        <v>4450.53</v>
      </c>
    </row>
    <row r="118" spans="1:6">
      <c r="A118" s="7">
        <f t="shared" si="9"/>
        <v>99</v>
      </c>
      <c r="B118" s="238">
        <f t="shared" si="10"/>
        <v>212.13103047814985</v>
      </c>
      <c r="C118" s="238">
        <f t="shared" si="11"/>
        <v>18.543875</v>
      </c>
      <c r="D118" s="14">
        <f t="shared" si="6"/>
        <v>193.58715547814984</v>
      </c>
      <c r="E118" s="14">
        <f t="shared" si="7"/>
        <v>15743.062059003509</v>
      </c>
      <c r="F118" s="14">
        <f t="shared" si="8"/>
        <v>4256.9399999999996</v>
      </c>
    </row>
    <row r="119" spans="1:6">
      <c r="A119" s="7">
        <f t="shared" si="9"/>
        <v>100</v>
      </c>
      <c r="B119" s="238">
        <f t="shared" si="10"/>
        <v>212.13103047814985</v>
      </c>
      <c r="C119" s="238">
        <f t="shared" si="11"/>
        <v>17.73725</v>
      </c>
      <c r="D119" s="14">
        <f t="shared" si="6"/>
        <v>194.39378047814986</v>
      </c>
      <c r="E119" s="14">
        <f t="shared" si="7"/>
        <v>15937.455839481658</v>
      </c>
      <c r="F119" s="14">
        <f t="shared" si="8"/>
        <v>4062.54</v>
      </c>
    </row>
    <row r="120" spans="1:6">
      <c r="A120" s="7">
        <f t="shared" si="9"/>
        <v>101</v>
      </c>
      <c r="B120" s="238">
        <f t="shared" si="10"/>
        <v>212.13103047814985</v>
      </c>
      <c r="C120" s="238">
        <f t="shared" si="11"/>
        <v>16.927250000000001</v>
      </c>
      <c r="D120" s="14">
        <f t="shared" si="6"/>
        <v>195.20378047814984</v>
      </c>
      <c r="E120" s="14">
        <f t="shared" si="7"/>
        <v>16132.659619959808</v>
      </c>
      <c r="F120" s="14">
        <f t="shared" si="8"/>
        <v>3867.34</v>
      </c>
    </row>
    <row r="121" spans="1:6">
      <c r="A121" s="7">
        <f t="shared" si="9"/>
        <v>102</v>
      </c>
      <c r="B121" s="238">
        <f t="shared" si="10"/>
        <v>212.13103047814985</v>
      </c>
      <c r="C121" s="238">
        <f t="shared" si="11"/>
        <v>16.113916666666668</v>
      </c>
      <c r="D121" s="14">
        <f t="shared" si="6"/>
        <v>196.01711381148317</v>
      </c>
      <c r="E121" s="14">
        <f t="shared" si="7"/>
        <v>16328.676733771292</v>
      </c>
      <c r="F121" s="14">
        <f t="shared" si="8"/>
        <v>3671.32</v>
      </c>
    </row>
    <row r="122" spans="1:6">
      <c r="A122" s="7">
        <f t="shared" si="9"/>
        <v>103</v>
      </c>
      <c r="B122" s="238">
        <f t="shared" si="10"/>
        <v>212.13103047814985</v>
      </c>
      <c r="C122" s="238">
        <f t="shared" si="11"/>
        <v>15.297166666666667</v>
      </c>
      <c r="D122" s="14">
        <f t="shared" si="6"/>
        <v>196.83386381148318</v>
      </c>
      <c r="E122" s="14">
        <f t="shared" si="7"/>
        <v>16525.510597582776</v>
      </c>
      <c r="F122" s="14">
        <f t="shared" si="8"/>
        <v>3474.49</v>
      </c>
    </row>
    <row r="123" spans="1:6">
      <c r="A123" s="7">
        <f t="shared" si="9"/>
        <v>104</v>
      </c>
      <c r="B123" s="238">
        <f t="shared" si="10"/>
        <v>212.13103047814985</v>
      </c>
      <c r="C123" s="238">
        <f t="shared" si="11"/>
        <v>14.477041666666665</v>
      </c>
      <c r="D123" s="14">
        <f t="shared" si="6"/>
        <v>197.6539888114832</v>
      </c>
      <c r="E123" s="14">
        <f t="shared" si="7"/>
        <v>16723.164586394258</v>
      </c>
      <c r="F123" s="14">
        <f t="shared" si="8"/>
        <v>3276.84</v>
      </c>
    </row>
    <row r="124" spans="1:6">
      <c r="A124" s="7">
        <f t="shared" si="9"/>
        <v>105</v>
      </c>
      <c r="B124" s="238">
        <f t="shared" si="10"/>
        <v>212.13103047814985</v>
      </c>
      <c r="C124" s="238">
        <f t="shared" si="11"/>
        <v>13.653500000000001</v>
      </c>
      <c r="D124" s="14">
        <f t="shared" si="6"/>
        <v>198.47753047814984</v>
      </c>
      <c r="E124" s="14">
        <f t="shared" si="7"/>
        <v>16921.642116872408</v>
      </c>
      <c r="F124" s="14">
        <f t="shared" si="8"/>
        <v>3078.36</v>
      </c>
    </row>
    <row r="125" spans="1:6">
      <c r="A125" s="7">
        <f t="shared" si="9"/>
        <v>106</v>
      </c>
      <c r="B125" s="238">
        <f t="shared" si="10"/>
        <v>212.13103047814985</v>
      </c>
      <c r="C125" s="238">
        <f t="shared" si="11"/>
        <v>12.826500000000001</v>
      </c>
      <c r="D125" s="14">
        <f t="shared" si="6"/>
        <v>199.30453047814984</v>
      </c>
      <c r="E125" s="14">
        <f t="shared" si="7"/>
        <v>17120.946647350556</v>
      </c>
      <c r="F125" s="14">
        <f t="shared" si="8"/>
        <v>2879.05</v>
      </c>
    </row>
    <row r="126" spans="1:6">
      <c r="A126" s="7">
        <f t="shared" si="9"/>
        <v>107</v>
      </c>
      <c r="B126" s="238">
        <f t="shared" si="10"/>
        <v>212.13103047814985</v>
      </c>
      <c r="C126" s="238">
        <f t="shared" si="11"/>
        <v>11.996041666666667</v>
      </c>
      <c r="D126" s="14">
        <f t="shared" si="6"/>
        <v>200.1349888114832</v>
      </c>
      <c r="E126" s="14">
        <f t="shared" si="7"/>
        <v>17321.081636162038</v>
      </c>
      <c r="F126" s="14">
        <f t="shared" si="8"/>
        <v>2678.92</v>
      </c>
    </row>
    <row r="127" spans="1:6">
      <c r="A127" s="7">
        <f t="shared" si="9"/>
        <v>108</v>
      </c>
      <c r="B127" s="238">
        <f t="shared" si="10"/>
        <v>212.13103047814985</v>
      </c>
      <c r="C127" s="238">
        <f t="shared" si="11"/>
        <v>11.162166666666668</v>
      </c>
      <c r="D127" s="14">
        <f t="shared" si="6"/>
        <v>200.96886381148317</v>
      </c>
      <c r="E127" s="14">
        <f t="shared" si="7"/>
        <v>17522.05049997352</v>
      </c>
      <c r="F127" s="14">
        <f t="shared" si="8"/>
        <v>2477.9499999999998</v>
      </c>
    </row>
    <row r="128" spans="1:6">
      <c r="A128" s="7">
        <f t="shared" si="9"/>
        <v>109</v>
      </c>
      <c r="B128" s="238">
        <f t="shared" si="10"/>
        <v>212.13103047814985</v>
      </c>
      <c r="C128" s="238">
        <f t="shared" si="11"/>
        <v>10.324791666666666</v>
      </c>
      <c r="D128" s="14">
        <f t="shared" si="6"/>
        <v>201.80623881148318</v>
      </c>
      <c r="E128" s="14">
        <f t="shared" si="7"/>
        <v>17723.856738785005</v>
      </c>
      <c r="F128" s="14">
        <f t="shared" si="8"/>
        <v>2276.14</v>
      </c>
    </row>
    <row r="129" spans="1:6">
      <c r="A129" s="7">
        <f t="shared" si="9"/>
        <v>110</v>
      </c>
      <c r="B129" s="238">
        <f t="shared" si="10"/>
        <v>212.13103047814985</v>
      </c>
      <c r="C129" s="238">
        <f t="shared" si="11"/>
        <v>9.4839166666666657</v>
      </c>
      <c r="D129" s="14">
        <f t="shared" si="6"/>
        <v>202.64711381148319</v>
      </c>
      <c r="E129" s="14">
        <f t="shared" si="7"/>
        <v>17926.503852596488</v>
      </c>
      <c r="F129" s="14">
        <f t="shared" si="8"/>
        <v>2073.5</v>
      </c>
    </row>
    <row r="130" spans="1:6">
      <c r="A130" s="7">
        <f t="shared" si="9"/>
        <v>111</v>
      </c>
      <c r="B130" s="238">
        <f t="shared" si="10"/>
        <v>212.13103047814985</v>
      </c>
      <c r="C130" s="238">
        <f t="shared" si="11"/>
        <v>8.6395833333333325</v>
      </c>
      <c r="D130" s="14">
        <f t="shared" si="6"/>
        <v>203.49144714481653</v>
      </c>
      <c r="E130" s="14">
        <f t="shared" si="7"/>
        <v>18129.995299741306</v>
      </c>
      <c r="F130" s="14">
        <f t="shared" si="8"/>
        <v>1870</v>
      </c>
    </row>
    <row r="131" spans="1:6">
      <c r="A131" s="7">
        <f t="shared" si="9"/>
        <v>112</v>
      </c>
      <c r="B131" s="238">
        <f t="shared" si="10"/>
        <v>212.13103047814985</v>
      </c>
      <c r="C131" s="238">
        <f t="shared" si="11"/>
        <v>7.791666666666667</v>
      </c>
      <c r="D131" s="14">
        <f t="shared" si="6"/>
        <v>204.3393638114832</v>
      </c>
      <c r="E131" s="14">
        <f t="shared" si="7"/>
        <v>18334.334663552789</v>
      </c>
      <c r="F131" s="14">
        <f t="shared" si="8"/>
        <v>1665.67</v>
      </c>
    </row>
    <row r="132" spans="1:6">
      <c r="A132" s="7">
        <f t="shared" si="9"/>
        <v>113</v>
      </c>
      <c r="B132" s="238">
        <f t="shared" si="10"/>
        <v>212.13103047814985</v>
      </c>
      <c r="C132" s="238">
        <f t="shared" si="11"/>
        <v>6.940291666666667</v>
      </c>
      <c r="D132" s="14">
        <f t="shared" si="6"/>
        <v>205.19073881148319</v>
      </c>
      <c r="E132" s="14">
        <f t="shared" si="7"/>
        <v>18539.52540236427</v>
      </c>
      <c r="F132" s="14">
        <f t="shared" si="8"/>
        <v>1460.47</v>
      </c>
    </row>
    <row r="133" spans="1:6">
      <c r="A133" s="7">
        <f t="shared" si="9"/>
        <v>114</v>
      </c>
      <c r="B133" s="238">
        <f t="shared" si="10"/>
        <v>212.13103047814985</v>
      </c>
      <c r="C133" s="238">
        <f t="shared" si="11"/>
        <v>6.0852916666666665</v>
      </c>
      <c r="D133" s="14">
        <f t="shared" si="6"/>
        <v>206.04573881148318</v>
      </c>
      <c r="E133" s="14">
        <f t="shared" si="7"/>
        <v>18745.571141175755</v>
      </c>
      <c r="F133" s="14">
        <f t="shared" si="8"/>
        <v>1254.43</v>
      </c>
    </row>
    <row r="134" spans="1:6">
      <c r="A134" s="7">
        <f t="shared" si="9"/>
        <v>115</v>
      </c>
      <c r="B134" s="238">
        <f t="shared" si="10"/>
        <v>212.13103047814985</v>
      </c>
      <c r="C134" s="238">
        <f t="shared" si="11"/>
        <v>5.2267916666666672</v>
      </c>
      <c r="D134" s="14">
        <f t="shared" si="6"/>
        <v>206.9042388114832</v>
      </c>
      <c r="E134" s="14">
        <f t="shared" si="7"/>
        <v>18952.475379987238</v>
      </c>
      <c r="F134" s="14">
        <f t="shared" si="8"/>
        <v>1047.52</v>
      </c>
    </row>
    <row r="135" spans="1:6">
      <c r="A135" s="7">
        <f t="shared" si="9"/>
        <v>116</v>
      </c>
      <c r="B135" s="238">
        <f t="shared" si="10"/>
        <v>212.13103047814985</v>
      </c>
      <c r="C135" s="238">
        <f t="shared" si="11"/>
        <v>4.3646666666666665</v>
      </c>
      <c r="D135" s="14">
        <f t="shared" si="6"/>
        <v>207.76636381148319</v>
      </c>
      <c r="E135" s="14">
        <f t="shared" si="7"/>
        <v>19160.241743798721</v>
      </c>
      <c r="F135" s="14">
        <f t="shared" si="8"/>
        <v>839.76</v>
      </c>
    </row>
    <row r="136" spans="1:6">
      <c r="A136" s="7">
        <f t="shared" si="9"/>
        <v>117</v>
      </c>
      <c r="B136" s="238">
        <f t="shared" si="10"/>
        <v>212.13103047814985</v>
      </c>
      <c r="C136" s="238">
        <f t="shared" si="11"/>
        <v>3.4990000000000001</v>
      </c>
      <c r="D136" s="14">
        <f t="shared" si="6"/>
        <v>208.63203047814986</v>
      </c>
      <c r="E136" s="14">
        <f t="shared" si="7"/>
        <v>19368.873774276872</v>
      </c>
      <c r="F136" s="14">
        <f t="shared" si="8"/>
        <v>631.13</v>
      </c>
    </row>
    <row r="137" spans="1:6">
      <c r="A137" s="7">
        <f t="shared" si="9"/>
        <v>118</v>
      </c>
      <c r="B137" s="238">
        <f t="shared" si="10"/>
        <v>212.13103047814985</v>
      </c>
      <c r="C137" s="238">
        <f t="shared" si="11"/>
        <v>2.6297083333333333</v>
      </c>
      <c r="D137" s="14">
        <f t="shared" si="6"/>
        <v>209.50132214481653</v>
      </c>
      <c r="E137" s="14">
        <f t="shared" si="7"/>
        <v>19578.375096421689</v>
      </c>
      <c r="F137" s="14">
        <f t="shared" si="8"/>
        <v>421.62</v>
      </c>
    </row>
    <row r="138" spans="1:6">
      <c r="A138" s="7">
        <f t="shared" si="9"/>
        <v>119</v>
      </c>
      <c r="B138" s="238">
        <f t="shared" si="10"/>
        <v>212.13103047814985</v>
      </c>
      <c r="C138" s="238">
        <f t="shared" si="11"/>
        <v>1.75675</v>
      </c>
      <c r="D138" s="14">
        <f t="shared" si="6"/>
        <v>210.37428047814984</v>
      </c>
      <c r="E138" s="14">
        <f t="shared" si="7"/>
        <v>19788.749376899839</v>
      </c>
      <c r="F138" s="14">
        <f t="shared" si="8"/>
        <v>211.25</v>
      </c>
    </row>
    <row r="139" spans="1:6">
      <c r="A139" s="7">
        <f t="shared" si="9"/>
        <v>120</v>
      </c>
      <c r="B139" s="238">
        <f t="shared" si="10"/>
        <v>212.13103047814985</v>
      </c>
      <c r="C139" s="238">
        <f t="shared" si="11"/>
        <v>0.88020833333333337</v>
      </c>
      <c r="D139" s="14">
        <f t="shared" si="6"/>
        <v>211.25082214481651</v>
      </c>
      <c r="E139" s="14">
        <f t="shared" si="7"/>
        <v>20000.000199044654</v>
      </c>
      <c r="F139" s="14">
        <f t="shared" si="8"/>
        <v>0</v>
      </c>
    </row>
    <row r="140" spans="1:6">
      <c r="A140" s="7" t="str">
        <f t="shared" si="9"/>
        <v/>
      </c>
      <c r="B140" s="238" t="str">
        <f t="shared" si="10"/>
        <v>0,00</v>
      </c>
      <c r="C140" s="238" t="str">
        <f t="shared" si="11"/>
        <v>0,00</v>
      </c>
      <c r="D140" s="14" t="str">
        <f t="shared" si="6"/>
        <v/>
      </c>
      <c r="E140" s="14" t="str">
        <f t="shared" si="7"/>
        <v/>
      </c>
      <c r="F140" s="14" t="str">
        <f t="shared" si="8"/>
        <v/>
      </c>
    </row>
    <row r="141" spans="1:6">
      <c r="A141" s="7" t="str">
        <f t="shared" si="9"/>
        <v/>
      </c>
      <c r="B141" s="238" t="str">
        <f t="shared" si="10"/>
        <v>0,00</v>
      </c>
      <c r="C141" s="238" t="str">
        <f t="shared" si="11"/>
        <v>0,00</v>
      </c>
      <c r="D141" s="14" t="str">
        <f t="shared" si="6"/>
        <v/>
      </c>
      <c r="E141" s="14" t="str">
        <f t="shared" si="7"/>
        <v/>
      </c>
      <c r="F141" s="14" t="str">
        <f t="shared" si="8"/>
        <v/>
      </c>
    </row>
    <row r="142" spans="1:6">
      <c r="A142" s="7" t="str">
        <f t="shared" si="9"/>
        <v/>
      </c>
      <c r="B142" s="238" t="str">
        <f t="shared" si="10"/>
        <v>0,00</v>
      </c>
      <c r="C142" s="238" t="str">
        <f t="shared" si="11"/>
        <v>0,00</v>
      </c>
      <c r="D142" s="14" t="str">
        <f t="shared" si="6"/>
        <v/>
      </c>
      <c r="E142" s="14" t="str">
        <f t="shared" si="7"/>
        <v/>
      </c>
      <c r="F142" s="14" t="str">
        <f t="shared" si="8"/>
        <v/>
      </c>
    </row>
    <row r="143" spans="1:6">
      <c r="A143" s="7" t="str">
        <f t="shared" si="9"/>
        <v/>
      </c>
      <c r="B143" s="238" t="str">
        <f t="shared" si="10"/>
        <v>0,00</v>
      </c>
      <c r="C143" s="238" t="str">
        <f t="shared" si="11"/>
        <v>0,00</v>
      </c>
      <c r="D143" s="14" t="str">
        <f t="shared" si="6"/>
        <v/>
      </c>
      <c r="E143" s="14" t="str">
        <f t="shared" si="7"/>
        <v/>
      </c>
      <c r="F143" s="14" t="str">
        <f t="shared" si="8"/>
        <v/>
      </c>
    </row>
    <row r="144" spans="1:6">
      <c r="A144" s="7" t="str">
        <f t="shared" si="9"/>
        <v/>
      </c>
      <c r="B144" s="238" t="str">
        <f t="shared" si="10"/>
        <v>0,00</v>
      </c>
      <c r="C144" s="238" t="str">
        <f t="shared" si="11"/>
        <v>0,00</v>
      </c>
      <c r="D144" s="14" t="str">
        <f t="shared" si="6"/>
        <v/>
      </c>
      <c r="E144" s="14" t="str">
        <f t="shared" si="7"/>
        <v/>
      </c>
      <c r="F144" s="14" t="str">
        <f t="shared" si="8"/>
        <v/>
      </c>
    </row>
    <row r="145" spans="1:6">
      <c r="A145" s="7" t="str">
        <f t="shared" si="9"/>
        <v/>
      </c>
      <c r="B145" s="238" t="str">
        <f t="shared" si="10"/>
        <v>0,00</v>
      </c>
      <c r="C145" s="238" t="str">
        <f t="shared" si="11"/>
        <v>0,00</v>
      </c>
      <c r="D145" s="14" t="str">
        <f t="shared" si="6"/>
        <v/>
      </c>
      <c r="E145" s="14" t="str">
        <f t="shared" si="7"/>
        <v/>
      </c>
      <c r="F145" s="14" t="str">
        <f t="shared" si="8"/>
        <v/>
      </c>
    </row>
    <row r="146" spans="1:6">
      <c r="A146" s="7" t="str">
        <f t="shared" si="9"/>
        <v/>
      </c>
      <c r="B146" s="238" t="str">
        <f t="shared" si="10"/>
        <v>0,00</v>
      </c>
      <c r="C146" s="238" t="str">
        <f t="shared" si="11"/>
        <v>0,00</v>
      </c>
      <c r="D146" s="14" t="str">
        <f t="shared" si="6"/>
        <v/>
      </c>
      <c r="E146" s="14" t="str">
        <f t="shared" si="7"/>
        <v/>
      </c>
      <c r="F146" s="14" t="str">
        <f t="shared" si="8"/>
        <v/>
      </c>
    </row>
    <row r="147" spans="1:6">
      <c r="A147" s="7" t="str">
        <f t="shared" si="9"/>
        <v/>
      </c>
      <c r="B147" s="238" t="str">
        <f t="shared" si="10"/>
        <v>0,00</v>
      </c>
      <c r="C147" s="238" t="str">
        <f t="shared" si="11"/>
        <v>0,00</v>
      </c>
      <c r="D147" s="14" t="str">
        <f t="shared" si="6"/>
        <v/>
      </c>
      <c r="E147" s="14" t="str">
        <f t="shared" si="7"/>
        <v/>
      </c>
      <c r="F147" s="14" t="str">
        <f t="shared" si="8"/>
        <v/>
      </c>
    </row>
    <row r="148" spans="1:6">
      <c r="A148" s="7" t="str">
        <f t="shared" si="9"/>
        <v/>
      </c>
      <c r="B148" s="238" t="str">
        <f t="shared" si="10"/>
        <v>0,00</v>
      </c>
      <c r="C148" s="238" t="str">
        <f t="shared" si="11"/>
        <v>0,00</v>
      </c>
      <c r="D148" s="14" t="str">
        <f t="shared" ref="D148:D211" si="12">IF(A148&lt;=$E$9,$E$13-C148,"")</f>
        <v/>
      </c>
      <c r="E148" s="14" t="str">
        <f t="shared" ref="E148:E211" si="13">IF(A148&lt;=$E$9,E147+D148,"")</f>
        <v/>
      </c>
      <c r="F148" s="14" t="str">
        <f t="shared" ref="F148:F211" si="14">IF(A148&lt;=$E$9,ROUND(($F$19-E148),2),"")</f>
        <v/>
      </c>
    </row>
    <row r="149" spans="1:6">
      <c r="A149" s="7" t="str">
        <f t="shared" ref="A149:A212" si="15">IF(A148&lt;$E$9,A148+1,"")</f>
        <v/>
      </c>
      <c r="B149" s="238" t="str">
        <f t="shared" ref="B149:B212" si="16">IF(A149&lt;=$E$9,C149+D149,"0,00")</f>
        <v>0,00</v>
      </c>
      <c r="C149" s="238" t="str">
        <f t="shared" ref="C149:C212" si="17">IF(A149&lt;=$E$9,F148*($E$8/$E$10),"0,00")</f>
        <v>0,00</v>
      </c>
      <c r="D149" s="14" t="str">
        <f t="shared" si="12"/>
        <v/>
      </c>
      <c r="E149" s="14" t="str">
        <f t="shared" si="13"/>
        <v/>
      </c>
      <c r="F149" s="14" t="str">
        <f t="shared" si="14"/>
        <v/>
      </c>
    </row>
    <row r="150" spans="1:6">
      <c r="A150" s="7" t="str">
        <f t="shared" si="15"/>
        <v/>
      </c>
      <c r="B150" s="238" t="str">
        <f t="shared" si="16"/>
        <v>0,00</v>
      </c>
      <c r="C150" s="238" t="str">
        <f t="shared" si="17"/>
        <v>0,00</v>
      </c>
      <c r="D150" s="14" t="str">
        <f t="shared" si="12"/>
        <v/>
      </c>
      <c r="E150" s="14" t="str">
        <f t="shared" si="13"/>
        <v/>
      </c>
      <c r="F150" s="14" t="str">
        <f t="shared" si="14"/>
        <v/>
      </c>
    </row>
    <row r="151" spans="1:6">
      <c r="A151" s="7" t="str">
        <f t="shared" si="15"/>
        <v/>
      </c>
      <c r="B151" s="238" t="str">
        <f t="shared" si="16"/>
        <v>0,00</v>
      </c>
      <c r="C151" s="238" t="str">
        <f t="shared" si="17"/>
        <v>0,00</v>
      </c>
      <c r="D151" s="14" t="str">
        <f t="shared" si="12"/>
        <v/>
      </c>
      <c r="E151" s="14" t="str">
        <f t="shared" si="13"/>
        <v/>
      </c>
      <c r="F151" s="14" t="str">
        <f t="shared" si="14"/>
        <v/>
      </c>
    </row>
    <row r="152" spans="1:6">
      <c r="A152" s="7" t="str">
        <f t="shared" si="15"/>
        <v/>
      </c>
      <c r="B152" s="238" t="str">
        <f t="shared" si="16"/>
        <v>0,00</v>
      </c>
      <c r="C152" s="238" t="str">
        <f t="shared" si="17"/>
        <v>0,00</v>
      </c>
      <c r="D152" s="14" t="str">
        <f t="shared" si="12"/>
        <v/>
      </c>
      <c r="E152" s="14" t="str">
        <f t="shared" si="13"/>
        <v/>
      </c>
      <c r="F152" s="14" t="str">
        <f t="shared" si="14"/>
        <v/>
      </c>
    </row>
    <row r="153" spans="1:6">
      <c r="A153" s="7" t="str">
        <f t="shared" si="15"/>
        <v/>
      </c>
      <c r="B153" s="238" t="str">
        <f t="shared" si="16"/>
        <v>0,00</v>
      </c>
      <c r="C153" s="238" t="str">
        <f t="shared" si="17"/>
        <v>0,00</v>
      </c>
      <c r="D153" s="14" t="str">
        <f t="shared" si="12"/>
        <v/>
      </c>
      <c r="E153" s="14" t="str">
        <f t="shared" si="13"/>
        <v/>
      </c>
      <c r="F153" s="14" t="str">
        <f t="shared" si="14"/>
        <v/>
      </c>
    </row>
    <row r="154" spans="1:6">
      <c r="A154" s="7" t="str">
        <f t="shared" si="15"/>
        <v/>
      </c>
      <c r="B154" s="238" t="str">
        <f t="shared" si="16"/>
        <v>0,00</v>
      </c>
      <c r="C154" s="238" t="str">
        <f t="shared" si="17"/>
        <v>0,00</v>
      </c>
      <c r="D154" s="14" t="str">
        <f t="shared" si="12"/>
        <v/>
      </c>
      <c r="E154" s="14" t="str">
        <f t="shared" si="13"/>
        <v/>
      </c>
      <c r="F154" s="14" t="str">
        <f t="shared" si="14"/>
        <v/>
      </c>
    </row>
    <row r="155" spans="1:6">
      <c r="A155" s="7" t="str">
        <f t="shared" si="15"/>
        <v/>
      </c>
      <c r="B155" s="238" t="str">
        <f t="shared" si="16"/>
        <v>0,00</v>
      </c>
      <c r="C155" s="238" t="str">
        <f t="shared" si="17"/>
        <v>0,00</v>
      </c>
      <c r="D155" s="14" t="str">
        <f t="shared" si="12"/>
        <v/>
      </c>
      <c r="E155" s="14" t="str">
        <f t="shared" si="13"/>
        <v/>
      </c>
      <c r="F155" s="14" t="str">
        <f t="shared" si="14"/>
        <v/>
      </c>
    </row>
    <row r="156" spans="1:6">
      <c r="A156" s="7" t="str">
        <f t="shared" si="15"/>
        <v/>
      </c>
      <c r="B156" s="238" t="str">
        <f t="shared" si="16"/>
        <v>0,00</v>
      </c>
      <c r="C156" s="238" t="str">
        <f t="shared" si="17"/>
        <v>0,00</v>
      </c>
      <c r="D156" s="14" t="str">
        <f t="shared" si="12"/>
        <v/>
      </c>
      <c r="E156" s="14" t="str">
        <f t="shared" si="13"/>
        <v/>
      </c>
      <c r="F156" s="14" t="str">
        <f t="shared" si="14"/>
        <v/>
      </c>
    </row>
    <row r="157" spans="1:6">
      <c r="A157" s="7" t="str">
        <f t="shared" si="15"/>
        <v/>
      </c>
      <c r="B157" s="238" t="str">
        <f t="shared" si="16"/>
        <v>0,00</v>
      </c>
      <c r="C157" s="238" t="str">
        <f t="shared" si="17"/>
        <v>0,00</v>
      </c>
      <c r="D157" s="14" t="str">
        <f t="shared" si="12"/>
        <v/>
      </c>
      <c r="E157" s="14" t="str">
        <f t="shared" si="13"/>
        <v/>
      </c>
      <c r="F157" s="14" t="str">
        <f t="shared" si="14"/>
        <v/>
      </c>
    </row>
    <row r="158" spans="1:6">
      <c r="A158" s="7" t="str">
        <f t="shared" si="15"/>
        <v/>
      </c>
      <c r="B158" s="238" t="str">
        <f t="shared" si="16"/>
        <v>0,00</v>
      </c>
      <c r="C158" s="238" t="str">
        <f t="shared" si="17"/>
        <v>0,00</v>
      </c>
      <c r="D158" s="14" t="str">
        <f t="shared" si="12"/>
        <v/>
      </c>
      <c r="E158" s="14" t="str">
        <f t="shared" si="13"/>
        <v/>
      </c>
      <c r="F158" s="14" t="str">
        <f t="shared" si="14"/>
        <v/>
      </c>
    </row>
    <row r="159" spans="1:6">
      <c r="A159" s="7" t="str">
        <f t="shared" si="15"/>
        <v/>
      </c>
      <c r="B159" s="238" t="str">
        <f t="shared" si="16"/>
        <v>0,00</v>
      </c>
      <c r="C159" s="238" t="str">
        <f t="shared" si="17"/>
        <v>0,00</v>
      </c>
      <c r="D159" s="14" t="str">
        <f t="shared" si="12"/>
        <v/>
      </c>
      <c r="E159" s="14" t="str">
        <f t="shared" si="13"/>
        <v/>
      </c>
      <c r="F159" s="14" t="str">
        <f t="shared" si="14"/>
        <v/>
      </c>
    </row>
    <row r="160" spans="1:6">
      <c r="A160" s="7" t="str">
        <f t="shared" si="15"/>
        <v/>
      </c>
      <c r="B160" s="238" t="str">
        <f t="shared" si="16"/>
        <v>0,00</v>
      </c>
      <c r="C160" s="238" t="str">
        <f t="shared" si="17"/>
        <v>0,00</v>
      </c>
      <c r="D160" s="14" t="str">
        <f t="shared" si="12"/>
        <v/>
      </c>
      <c r="E160" s="14" t="str">
        <f t="shared" si="13"/>
        <v/>
      </c>
      <c r="F160" s="14" t="str">
        <f t="shared" si="14"/>
        <v/>
      </c>
    </row>
    <row r="161" spans="1:6">
      <c r="A161" s="7" t="str">
        <f t="shared" si="15"/>
        <v/>
      </c>
      <c r="B161" s="238" t="str">
        <f t="shared" si="16"/>
        <v>0,00</v>
      </c>
      <c r="C161" s="238" t="str">
        <f t="shared" si="17"/>
        <v>0,00</v>
      </c>
      <c r="D161" s="14" t="str">
        <f t="shared" si="12"/>
        <v/>
      </c>
      <c r="E161" s="14" t="str">
        <f t="shared" si="13"/>
        <v/>
      </c>
      <c r="F161" s="14" t="str">
        <f t="shared" si="14"/>
        <v/>
      </c>
    </row>
    <row r="162" spans="1:6">
      <c r="A162" s="7" t="str">
        <f t="shared" si="15"/>
        <v/>
      </c>
      <c r="B162" s="238" t="str">
        <f t="shared" si="16"/>
        <v>0,00</v>
      </c>
      <c r="C162" s="238" t="str">
        <f t="shared" si="17"/>
        <v>0,00</v>
      </c>
      <c r="D162" s="14" t="str">
        <f t="shared" si="12"/>
        <v/>
      </c>
      <c r="E162" s="14" t="str">
        <f t="shared" si="13"/>
        <v/>
      </c>
      <c r="F162" s="14" t="str">
        <f t="shared" si="14"/>
        <v/>
      </c>
    </row>
    <row r="163" spans="1:6">
      <c r="A163" s="7" t="str">
        <f t="shared" si="15"/>
        <v/>
      </c>
      <c r="B163" s="238" t="str">
        <f t="shared" si="16"/>
        <v>0,00</v>
      </c>
      <c r="C163" s="238" t="str">
        <f t="shared" si="17"/>
        <v>0,00</v>
      </c>
      <c r="D163" s="14" t="str">
        <f t="shared" si="12"/>
        <v/>
      </c>
      <c r="E163" s="14" t="str">
        <f t="shared" si="13"/>
        <v/>
      </c>
      <c r="F163" s="14" t="str">
        <f t="shared" si="14"/>
        <v/>
      </c>
    </row>
    <row r="164" spans="1:6">
      <c r="A164" s="7" t="str">
        <f t="shared" si="15"/>
        <v/>
      </c>
      <c r="B164" s="238" t="str">
        <f t="shared" si="16"/>
        <v>0,00</v>
      </c>
      <c r="C164" s="238" t="str">
        <f t="shared" si="17"/>
        <v>0,00</v>
      </c>
      <c r="D164" s="14" t="str">
        <f t="shared" si="12"/>
        <v/>
      </c>
      <c r="E164" s="14" t="str">
        <f t="shared" si="13"/>
        <v/>
      </c>
      <c r="F164" s="14" t="str">
        <f t="shared" si="14"/>
        <v/>
      </c>
    </row>
    <row r="165" spans="1:6">
      <c r="A165" s="7" t="str">
        <f t="shared" si="15"/>
        <v/>
      </c>
      <c r="B165" s="238" t="str">
        <f t="shared" si="16"/>
        <v>0,00</v>
      </c>
      <c r="C165" s="238" t="str">
        <f t="shared" si="17"/>
        <v>0,00</v>
      </c>
      <c r="D165" s="14" t="str">
        <f t="shared" si="12"/>
        <v/>
      </c>
      <c r="E165" s="14" t="str">
        <f t="shared" si="13"/>
        <v/>
      </c>
      <c r="F165" s="14" t="str">
        <f t="shared" si="14"/>
        <v/>
      </c>
    </row>
    <row r="166" spans="1:6">
      <c r="A166" s="7" t="str">
        <f t="shared" si="15"/>
        <v/>
      </c>
      <c r="B166" s="238" t="str">
        <f t="shared" si="16"/>
        <v>0,00</v>
      </c>
      <c r="C166" s="238" t="str">
        <f t="shared" si="17"/>
        <v>0,00</v>
      </c>
      <c r="D166" s="14" t="str">
        <f t="shared" si="12"/>
        <v/>
      </c>
      <c r="E166" s="14" t="str">
        <f t="shared" si="13"/>
        <v/>
      </c>
      <c r="F166" s="14" t="str">
        <f t="shared" si="14"/>
        <v/>
      </c>
    </row>
    <row r="167" spans="1:6">
      <c r="A167" s="7" t="str">
        <f t="shared" si="15"/>
        <v/>
      </c>
      <c r="B167" s="238" t="str">
        <f t="shared" si="16"/>
        <v>0,00</v>
      </c>
      <c r="C167" s="238" t="str">
        <f t="shared" si="17"/>
        <v>0,00</v>
      </c>
      <c r="D167" s="14" t="str">
        <f t="shared" si="12"/>
        <v/>
      </c>
      <c r="E167" s="14" t="str">
        <f t="shared" si="13"/>
        <v/>
      </c>
      <c r="F167" s="14" t="str">
        <f t="shared" si="14"/>
        <v/>
      </c>
    </row>
    <row r="168" spans="1:6">
      <c r="A168" s="7" t="str">
        <f t="shared" si="15"/>
        <v/>
      </c>
      <c r="B168" s="238" t="str">
        <f t="shared" si="16"/>
        <v>0,00</v>
      </c>
      <c r="C168" s="238" t="str">
        <f t="shared" si="17"/>
        <v>0,00</v>
      </c>
      <c r="D168" s="14" t="str">
        <f t="shared" si="12"/>
        <v/>
      </c>
      <c r="E168" s="14" t="str">
        <f t="shared" si="13"/>
        <v/>
      </c>
      <c r="F168" s="14" t="str">
        <f t="shared" si="14"/>
        <v/>
      </c>
    </row>
    <row r="169" spans="1:6">
      <c r="A169" s="7" t="str">
        <f t="shared" si="15"/>
        <v/>
      </c>
      <c r="B169" s="238" t="str">
        <f t="shared" si="16"/>
        <v>0,00</v>
      </c>
      <c r="C169" s="238" t="str">
        <f t="shared" si="17"/>
        <v>0,00</v>
      </c>
      <c r="D169" s="14" t="str">
        <f t="shared" si="12"/>
        <v/>
      </c>
      <c r="E169" s="14" t="str">
        <f t="shared" si="13"/>
        <v/>
      </c>
      <c r="F169" s="14" t="str">
        <f t="shared" si="14"/>
        <v/>
      </c>
    </row>
    <row r="170" spans="1:6">
      <c r="A170" s="7" t="str">
        <f t="shared" si="15"/>
        <v/>
      </c>
      <c r="B170" s="238" t="str">
        <f t="shared" si="16"/>
        <v>0,00</v>
      </c>
      <c r="C170" s="238" t="str">
        <f t="shared" si="17"/>
        <v>0,00</v>
      </c>
      <c r="D170" s="14" t="str">
        <f t="shared" si="12"/>
        <v/>
      </c>
      <c r="E170" s="14" t="str">
        <f t="shared" si="13"/>
        <v/>
      </c>
      <c r="F170" s="14" t="str">
        <f t="shared" si="14"/>
        <v/>
      </c>
    </row>
    <row r="171" spans="1:6">
      <c r="A171" s="7" t="str">
        <f t="shared" si="15"/>
        <v/>
      </c>
      <c r="B171" s="238" t="str">
        <f t="shared" si="16"/>
        <v>0,00</v>
      </c>
      <c r="C171" s="238" t="str">
        <f t="shared" si="17"/>
        <v>0,00</v>
      </c>
      <c r="D171" s="14" t="str">
        <f t="shared" si="12"/>
        <v/>
      </c>
      <c r="E171" s="14" t="str">
        <f t="shared" si="13"/>
        <v/>
      </c>
      <c r="F171" s="14" t="str">
        <f t="shared" si="14"/>
        <v/>
      </c>
    </row>
    <row r="172" spans="1:6">
      <c r="A172" s="7" t="str">
        <f t="shared" si="15"/>
        <v/>
      </c>
      <c r="B172" s="238" t="str">
        <f t="shared" si="16"/>
        <v>0,00</v>
      </c>
      <c r="C172" s="238" t="str">
        <f t="shared" si="17"/>
        <v>0,00</v>
      </c>
      <c r="D172" s="14" t="str">
        <f t="shared" si="12"/>
        <v/>
      </c>
      <c r="E172" s="14" t="str">
        <f t="shared" si="13"/>
        <v/>
      </c>
      <c r="F172" s="14" t="str">
        <f t="shared" si="14"/>
        <v/>
      </c>
    </row>
    <row r="173" spans="1:6">
      <c r="A173" s="7" t="str">
        <f t="shared" si="15"/>
        <v/>
      </c>
      <c r="B173" s="238" t="str">
        <f t="shared" si="16"/>
        <v>0,00</v>
      </c>
      <c r="C173" s="238" t="str">
        <f t="shared" si="17"/>
        <v>0,00</v>
      </c>
      <c r="D173" s="14" t="str">
        <f t="shared" si="12"/>
        <v/>
      </c>
      <c r="E173" s="14" t="str">
        <f t="shared" si="13"/>
        <v/>
      </c>
      <c r="F173" s="14" t="str">
        <f t="shared" si="14"/>
        <v/>
      </c>
    </row>
    <row r="174" spans="1:6">
      <c r="A174" s="7" t="str">
        <f t="shared" si="15"/>
        <v/>
      </c>
      <c r="B174" s="238" t="str">
        <f t="shared" si="16"/>
        <v>0,00</v>
      </c>
      <c r="C174" s="238" t="str">
        <f t="shared" si="17"/>
        <v>0,00</v>
      </c>
      <c r="D174" s="14" t="str">
        <f t="shared" si="12"/>
        <v/>
      </c>
      <c r="E174" s="14" t="str">
        <f t="shared" si="13"/>
        <v/>
      </c>
      <c r="F174" s="14" t="str">
        <f t="shared" si="14"/>
        <v/>
      </c>
    </row>
    <row r="175" spans="1:6">
      <c r="A175" s="7" t="str">
        <f t="shared" si="15"/>
        <v/>
      </c>
      <c r="B175" s="238" t="str">
        <f t="shared" si="16"/>
        <v>0,00</v>
      </c>
      <c r="C175" s="238" t="str">
        <f t="shared" si="17"/>
        <v>0,00</v>
      </c>
      <c r="D175" s="14" t="str">
        <f t="shared" si="12"/>
        <v/>
      </c>
      <c r="E175" s="14" t="str">
        <f t="shared" si="13"/>
        <v/>
      </c>
      <c r="F175" s="14" t="str">
        <f t="shared" si="14"/>
        <v/>
      </c>
    </row>
    <row r="176" spans="1:6">
      <c r="A176" s="7" t="str">
        <f t="shared" si="15"/>
        <v/>
      </c>
      <c r="B176" s="238" t="str">
        <f t="shared" si="16"/>
        <v>0,00</v>
      </c>
      <c r="C176" s="238" t="str">
        <f t="shared" si="17"/>
        <v>0,00</v>
      </c>
      <c r="D176" s="14" t="str">
        <f t="shared" si="12"/>
        <v/>
      </c>
      <c r="E176" s="14" t="str">
        <f t="shared" si="13"/>
        <v/>
      </c>
      <c r="F176" s="14" t="str">
        <f t="shared" si="14"/>
        <v/>
      </c>
    </row>
    <row r="177" spans="1:6">
      <c r="A177" s="7" t="str">
        <f t="shared" si="15"/>
        <v/>
      </c>
      <c r="B177" s="238" t="str">
        <f t="shared" si="16"/>
        <v>0,00</v>
      </c>
      <c r="C177" s="238" t="str">
        <f t="shared" si="17"/>
        <v>0,00</v>
      </c>
      <c r="D177" s="14" t="str">
        <f t="shared" si="12"/>
        <v/>
      </c>
      <c r="E177" s="14" t="str">
        <f t="shared" si="13"/>
        <v/>
      </c>
      <c r="F177" s="14" t="str">
        <f t="shared" si="14"/>
        <v/>
      </c>
    </row>
    <row r="178" spans="1:6">
      <c r="A178" s="7" t="str">
        <f t="shared" si="15"/>
        <v/>
      </c>
      <c r="B178" s="238" t="str">
        <f t="shared" si="16"/>
        <v>0,00</v>
      </c>
      <c r="C178" s="238" t="str">
        <f t="shared" si="17"/>
        <v>0,00</v>
      </c>
      <c r="D178" s="14" t="str">
        <f t="shared" si="12"/>
        <v/>
      </c>
      <c r="E178" s="14" t="str">
        <f t="shared" si="13"/>
        <v/>
      </c>
      <c r="F178" s="14" t="str">
        <f t="shared" si="14"/>
        <v/>
      </c>
    </row>
    <row r="179" spans="1:6">
      <c r="A179" s="7" t="str">
        <f t="shared" si="15"/>
        <v/>
      </c>
      <c r="B179" s="238" t="str">
        <f t="shared" si="16"/>
        <v>0,00</v>
      </c>
      <c r="C179" s="238" t="str">
        <f t="shared" si="17"/>
        <v>0,00</v>
      </c>
      <c r="D179" s="14" t="str">
        <f t="shared" si="12"/>
        <v/>
      </c>
      <c r="E179" s="14" t="str">
        <f t="shared" si="13"/>
        <v/>
      </c>
      <c r="F179" s="14" t="str">
        <f t="shared" si="14"/>
        <v/>
      </c>
    </row>
    <row r="180" spans="1:6">
      <c r="A180" s="7" t="str">
        <f t="shared" si="15"/>
        <v/>
      </c>
      <c r="B180" s="238" t="str">
        <f t="shared" si="16"/>
        <v>0,00</v>
      </c>
      <c r="C180" s="238" t="str">
        <f t="shared" si="17"/>
        <v>0,00</v>
      </c>
      <c r="D180" s="14" t="str">
        <f t="shared" si="12"/>
        <v/>
      </c>
      <c r="E180" s="14" t="str">
        <f t="shared" si="13"/>
        <v/>
      </c>
      <c r="F180" s="14" t="str">
        <f t="shared" si="14"/>
        <v/>
      </c>
    </row>
    <row r="181" spans="1:6">
      <c r="A181" s="7" t="str">
        <f t="shared" si="15"/>
        <v/>
      </c>
      <c r="B181" s="238" t="str">
        <f t="shared" si="16"/>
        <v>0,00</v>
      </c>
      <c r="C181" s="238" t="str">
        <f t="shared" si="17"/>
        <v>0,00</v>
      </c>
      <c r="D181" s="14" t="str">
        <f t="shared" si="12"/>
        <v/>
      </c>
      <c r="E181" s="14" t="str">
        <f t="shared" si="13"/>
        <v/>
      </c>
      <c r="F181" s="14" t="str">
        <f t="shared" si="14"/>
        <v/>
      </c>
    </row>
    <row r="182" spans="1:6">
      <c r="A182" s="7" t="str">
        <f t="shared" si="15"/>
        <v/>
      </c>
      <c r="B182" s="238" t="str">
        <f t="shared" si="16"/>
        <v>0,00</v>
      </c>
      <c r="C182" s="238" t="str">
        <f t="shared" si="17"/>
        <v>0,00</v>
      </c>
      <c r="D182" s="14" t="str">
        <f t="shared" si="12"/>
        <v/>
      </c>
      <c r="E182" s="14" t="str">
        <f t="shared" si="13"/>
        <v/>
      </c>
      <c r="F182" s="14" t="str">
        <f t="shared" si="14"/>
        <v/>
      </c>
    </row>
    <row r="183" spans="1:6">
      <c r="A183" s="7" t="str">
        <f t="shared" si="15"/>
        <v/>
      </c>
      <c r="B183" s="238" t="str">
        <f t="shared" si="16"/>
        <v>0,00</v>
      </c>
      <c r="C183" s="238" t="str">
        <f t="shared" si="17"/>
        <v>0,00</v>
      </c>
      <c r="D183" s="14" t="str">
        <f t="shared" si="12"/>
        <v/>
      </c>
      <c r="E183" s="14" t="str">
        <f t="shared" si="13"/>
        <v/>
      </c>
      <c r="F183" s="14" t="str">
        <f t="shared" si="14"/>
        <v/>
      </c>
    </row>
    <row r="184" spans="1:6">
      <c r="A184" s="7" t="str">
        <f t="shared" si="15"/>
        <v/>
      </c>
      <c r="B184" s="238" t="str">
        <f t="shared" si="16"/>
        <v>0,00</v>
      </c>
      <c r="C184" s="238" t="str">
        <f t="shared" si="17"/>
        <v>0,00</v>
      </c>
      <c r="D184" s="14" t="str">
        <f t="shared" si="12"/>
        <v/>
      </c>
      <c r="E184" s="14" t="str">
        <f t="shared" si="13"/>
        <v/>
      </c>
      <c r="F184" s="14" t="str">
        <f t="shared" si="14"/>
        <v/>
      </c>
    </row>
    <row r="185" spans="1:6">
      <c r="A185" s="7" t="str">
        <f t="shared" si="15"/>
        <v/>
      </c>
      <c r="B185" s="238" t="str">
        <f t="shared" si="16"/>
        <v>0,00</v>
      </c>
      <c r="C185" s="238" t="str">
        <f t="shared" si="17"/>
        <v>0,00</v>
      </c>
      <c r="D185" s="14" t="str">
        <f t="shared" si="12"/>
        <v/>
      </c>
      <c r="E185" s="14" t="str">
        <f t="shared" si="13"/>
        <v/>
      </c>
      <c r="F185" s="14" t="str">
        <f t="shared" si="14"/>
        <v/>
      </c>
    </row>
    <row r="186" spans="1:6">
      <c r="A186" s="7" t="str">
        <f t="shared" si="15"/>
        <v/>
      </c>
      <c r="B186" s="238" t="str">
        <f t="shared" si="16"/>
        <v>0,00</v>
      </c>
      <c r="C186" s="238" t="str">
        <f t="shared" si="17"/>
        <v>0,00</v>
      </c>
      <c r="D186" s="14" t="str">
        <f t="shared" si="12"/>
        <v/>
      </c>
      <c r="E186" s="14" t="str">
        <f t="shared" si="13"/>
        <v/>
      </c>
      <c r="F186" s="14" t="str">
        <f t="shared" si="14"/>
        <v/>
      </c>
    </row>
    <row r="187" spans="1:6">
      <c r="A187" s="7" t="str">
        <f t="shared" si="15"/>
        <v/>
      </c>
      <c r="B187" s="238" t="str">
        <f t="shared" si="16"/>
        <v>0,00</v>
      </c>
      <c r="C187" s="238" t="str">
        <f t="shared" si="17"/>
        <v>0,00</v>
      </c>
      <c r="D187" s="14" t="str">
        <f t="shared" si="12"/>
        <v/>
      </c>
      <c r="E187" s="14" t="str">
        <f t="shared" si="13"/>
        <v/>
      </c>
      <c r="F187" s="14" t="str">
        <f t="shared" si="14"/>
        <v/>
      </c>
    </row>
    <row r="188" spans="1:6">
      <c r="A188" s="7" t="str">
        <f t="shared" si="15"/>
        <v/>
      </c>
      <c r="B188" s="238" t="str">
        <f t="shared" si="16"/>
        <v>0,00</v>
      </c>
      <c r="C188" s="238" t="str">
        <f t="shared" si="17"/>
        <v>0,00</v>
      </c>
      <c r="D188" s="14" t="str">
        <f t="shared" si="12"/>
        <v/>
      </c>
      <c r="E188" s="14" t="str">
        <f t="shared" si="13"/>
        <v/>
      </c>
      <c r="F188" s="14" t="str">
        <f t="shared" si="14"/>
        <v/>
      </c>
    </row>
    <row r="189" spans="1:6">
      <c r="A189" s="7" t="str">
        <f t="shared" si="15"/>
        <v/>
      </c>
      <c r="B189" s="238" t="str">
        <f t="shared" si="16"/>
        <v>0,00</v>
      </c>
      <c r="C189" s="238" t="str">
        <f t="shared" si="17"/>
        <v>0,00</v>
      </c>
      <c r="D189" s="14" t="str">
        <f t="shared" si="12"/>
        <v/>
      </c>
      <c r="E189" s="14" t="str">
        <f t="shared" si="13"/>
        <v/>
      </c>
      <c r="F189" s="14" t="str">
        <f t="shared" si="14"/>
        <v/>
      </c>
    </row>
    <row r="190" spans="1:6">
      <c r="A190" s="7" t="str">
        <f t="shared" si="15"/>
        <v/>
      </c>
      <c r="B190" s="238" t="str">
        <f t="shared" si="16"/>
        <v>0,00</v>
      </c>
      <c r="C190" s="238" t="str">
        <f t="shared" si="17"/>
        <v>0,00</v>
      </c>
      <c r="D190" s="14" t="str">
        <f t="shared" si="12"/>
        <v/>
      </c>
      <c r="E190" s="14" t="str">
        <f t="shared" si="13"/>
        <v/>
      </c>
      <c r="F190" s="14" t="str">
        <f t="shared" si="14"/>
        <v/>
      </c>
    </row>
    <row r="191" spans="1:6">
      <c r="A191" s="7" t="str">
        <f t="shared" si="15"/>
        <v/>
      </c>
      <c r="B191" s="238" t="str">
        <f t="shared" si="16"/>
        <v>0,00</v>
      </c>
      <c r="C191" s="238" t="str">
        <f t="shared" si="17"/>
        <v>0,00</v>
      </c>
      <c r="D191" s="14" t="str">
        <f t="shared" si="12"/>
        <v/>
      </c>
      <c r="E191" s="14" t="str">
        <f t="shared" si="13"/>
        <v/>
      </c>
      <c r="F191" s="14" t="str">
        <f t="shared" si="14"/>
        <v/>
      </c>
    </row>
    <row r="192" spans="1:6">
      <c r="A192" s="7" t="str">
        <f t="shared" si="15"/>
        <v/>
      </c>
      <c r="B192" s="238" t="str">
        <f t="shared" si="16"/>
        <v>0,00</v>
      </c>
      <c r="C192" s="238" t="str">
        <f t="shared" si="17"/>
        <v>0,00</v>
      </c>
      <c r="D192" s="14" t="str">
        <f t="shared" si="12"/>
        <v/>
      </c>
      <c r="E192" s="14" t="str">
        <f t="shared" si="13"/>
        <v/>
      </c>
      <c r="F192" s="14" t="str">
        <f t="shared" si="14"/>
        <v/>
      </c>
    </row>
    <row r="193" spans="1:6">
      <c r="A193" s="7" t="str">
        <f t="shared" si="15"/>
        <v/>
      </c>
      <c r="B193" s="238" t="str">
        <f t="shared" si="16"/>
        <v>0,00</v>
      </c>
      <c r="C193" s="238" t="str">
        <f t="shared" si="17"/>
        <v>0,00</v>
      </c>
      <c r="D193" s="14" t="str">
        <f t="shared" si="12"/>
        <v/>
      </c>
      <c r="E193" s="14" t="str">
        <f t="shared" si="13"/>
        <v/>
      </c>
      <c r="F193" s="14" t="str">
        <f t="shared" si="14"/>
        <v/>
      </c>
    </row>
    <row r="194" spans="1:6">
      <c r="A194" s="7" t="str">
        <f t="shared" si="15"/>
        <v/>
      </c>
      <c r="B194" s="238" t="str">
        <f t="shared" si="16"/>
        <v>0,00</v>
      </c>
      <c r="C194" s="238" t="str">
        <f t="shared" si="17"/>
        <v>0,00</v>
      </c>
      <c r="D194" s="14" t="str">
        <f t="shared" si="12"/>
        <v/>
      </c>
      <c r="E194" s="14" t="str">
        <f t="shared" si="13"/>
        <v/>
      </c>
      <c r="F194" s="14" t="str">
        <f t="shared" si="14"/>
        <v/>
      </c>
    </row>
    <row r="195" spans="1:6">
      <c r="A195" s="7" t="str">
        <f t="shared" si="15"/>
        <v/>
      </c>
      <c r="B195" s="238" t="str">
        <f t="shared" si="16"/>
        <v>0,00</v>
      </c>
      <c r="C195" s="238" t="str">
        <f t="shared" si="17"/>
        <v>0,00</v>
      </c>
      <c r="D195" s="14" t="str">
        <f t="shared" si="12"/>
        <v/>
      </c>
      <c r="E195" s="14" t="str">
        <f t="shared" si="13"/>
        <v/>
      </c>
      <c r="F195" s="14" t="str">
        <f t="shared" si="14"/>
        <v/>
      </c>
    </row>
    <row r="196" spans="1:6">
      <c r="A196" s="7" t="str">
        <f t="shared" si="15"/>
        <v/>
      </c>
      <c r="B196" s="238" t="str">
        <f t="shared" si="16"/>
        <v>0,00</v>
      </c>
      <c r="C196" s="238" t="str">
        <f t="shared" si="17"/>
        <v>0,00</v>
      </c>
      <c r="D196" s="14" t="str">
        <f t="shared" si="12"/>
        <v/>
      </c>
      <c r="E196" s="14" t="str">
        <f t="shared" si="13"/>
        <v/>
      </c>
      <c r="F196" s="14" t="str">
        <f t="shared" si="14"/>
        <v/>
      </c>
    </row>
    <row r="197" spans="1:6">
      <c r="A197" s="7" t="str">
        <f t="shared" si="15"/>
        <v/>
      </c>
      <c r="B197" s="238" t="str">
        <f t="shared" si="16"/>
        <v>0,00</v>
      </c>
      <c r="C197" s="238" t="str">
        <f t="shared" si="17"/>
        <v>0,00</v>
      </c>
      <c r="D197" s="14" t="str">
        <f t="shared" si="12"/>
        <v/>
      </c>
      <c r="E197" s="14" t="str">
        <f t="shared" si="13"/>
        <v/>
      </c>
      <c r="F197" s="14" t="str">
        <f t="shared" si="14"/>
        <v/>
      </c>
    </row>
    <row r="198" spans="1:6">
      <c r="A198" s="7" t="str">
        <f t="shared" si="15"/>
        <v/>
      </c>
      <c r="B198" s="238" t="str">
        <f t="shared" si="16"/>
        <v>0,00</v>
      </c>
      <c r="C198" s="238" t="str">
        <f t="shared" si="17"/>
        <v>0,00</v>
      </c>
      <c r="D198" s="14" t="str">
        <f t="shared" si="12"/>
        <v/>
      </c>
      <c r="E198" s="14" t="str">
        <f t="shared" si="13"/>
        <v/>
      </c>
      <c r="F198" s="14" t="str">
        <f t="shared" si="14"/>
        <v/>
      </c>
    </row>
    <row r="199" spans="1:6">
      <c r="A199" s="7" t="str">
        <f t="shared" si="15"/>
        <v/>
      </c>
      <c r="B199" s="238" t="str">
        <f t="shared" si="16"/>
        <v>0,00</v>
      </c>
      <c r="C199" s="238" t="str">
        <f t="shared" si="17"/>
        <v>0,00</v>
      </c>
      <c r="D199" s="14" t="str">
        <f t="shared" si="12"/>
        <v/>
      </c>
      <c r="E199" s="14" t="str">
        <f t="shared" si="13"/>
        <v/>
      </c>
      <c r="F199" s="14" t="str">
        <f t="shared" si="14"/>
        <v/>
      </c>
    </row>
    <row r="200" spans="1:6">
      <c r="A200" s="7" t="str">
        <f t="shared" si="15"/>
        <v/>
      </c>
      <c r="B200" s="238" t="str">
        <f t="shared" si="16"/>
        <v>0,00</v>
      </c>
      <c r="C200" s="238" t="str">
        <f t="shared" si="17"/>
        <v>0,00</v>
      </c>
      <c r="D200" s="14" t="str">
        <f t="shared" si="12"/>
        <v/>
      </c>
      <c r="E200" s="14" t="str">
        <f t="shared" si="13"/>
        <v/>
      </c>
      <c r="F200" s="14" t="str">
        <f t="shared" si="14"/>
        <v/>
      </c>
    </row>
    <row r="201" spans="1:6">
      <c r="A201" s="7" t="str">
        <f t="shared" si="15"/>
        <v/>
      </c>
      <c r="B201" s="238" t="str">
        <f t="shared" si="16"/>
        <v>0,00</v>
      </c>
      <c r="C201" s="238" t="str">
        <f t="shared" si="17"/>
        <v>0,00</v>
      </c>
      <c r="D201" s="14" t="str">
        <f t="shared" si="12"/>
        <v/>
      </c>
      <c r="E201" s="14" t="str">
        <f t="shared" si="13"/>
        <v/>
      </c>
      <c r="F201" s="14" t="str">
        <f t="shared" si="14"/>
        <v/>
      </c>
    </row>
    <row r="202" spans="1:6">
      <c r="A202" s="7" t="str">
        <f t="shared" si="15"/>
        <v/>
      </c>
      <c r="B202" s="238" t="str">
        <f t="shared" si="16"/>
        <v>0,00</v>
      </c>
      <c r="C202" s="238" t="str">
        <f t="shared" si="17"/>
        <v>0,00</v>
      </c>
      <c r="D202" s="14" t="str">
        <f t="shared" si="12"/>
        <v/>
      </c>
      <c r="E202" s="14" t="str">
        <f t="shared" si="13"/>
        <v/>
      </c>
      <c r="F202" s="14" t="str">
        <f t="shared" si="14"/>
        <v/>
      </c>
    </row>
    <row r="203" spans="1:6">
      <c r="A203" s="7" t="str">
        <f t="shared" si="15"/>
        <v/>
      </c>
      <c r="B203" s="238" t="str">
        <f t="shared" si="16"/>
        <v>0,00</v>
      </c>
      <c r="C203" s="238" t="str">
        <f t="shared" si="17"/>
        <v>0,00</v>
      </c>
      <c r="D203" s="14" t="str">
        <f t="shared" si="12"/>
        <v/>
      </c>
      <c r="E203" s="14" t="str">
        <f t="shared" si="13"/>
        <v/>
      </c>
      <c r="F203" s="14" t="str">
        <f t="shared" si="14"/>
        <v/>
      </c>
    </row>
    <row r="204" spans="1:6">
      <c r="A204" s="7" t="str">
        <f t="shared" si="15"/>
        <v/>
      </c>
      <c r="B204" s="238" t="str">
        <f t="shared" si="16"/>
        <v>0,00</v>
      </c>
      <c r="C204" s="238" t="str">
        <f t="shared" si="17"/>
        <v>0,00</v>
      </c>
      <c r="D204" s="14" t="str">
        <f t="shared" si="12"/>
        <v/>
      </c>
      <c r="E204" s="14" t="str">
        <f t="shared" si="13"/>
        <v/>
      </c>
      <c r="F204" s="14" t="str">
        <f t="shared" si="14"/>
        <v/>
      </c>
    </row>
    <row r="205" spans="1:6">
      <c r="A205" s="7" t="str">
        <f t="shared" si="15"/>
        <v/>
      </c>
      <c r="B205" s="238" t="str">
        <f t="shared" si="16"/>
        <v>0,00</v>
      </c>
      <c r="C205" s="238" t="str">
        <f t="shared" si="17"/>
        <v>0,00</v>
      </c>
      <c r="D205" s="14" t="str">
        <f t="shared" si="12"/>
        <v/>
      </c>
      <c r="E205" s="14" t="str">
        <f t="shared" si="13"/>
        <v/>
      </c>
      <c r="F205" s="14" t="str">
        <f t="shared" si="14"/>
        <v/>
      </c>
    </row>
    <row r="206" spans="1:6">
      <c r="A206" s="7" t="str">
        <f t="shared" si="15"/>
        <v/>
      </c>
      <c r="B206" s="238" t="str">
        <f t="shared" si="16"/>
        <v>0,00</v>
      </c>
      <c r="C206" s="238" t="str">
        <f t="shared" si="17"/>
        <v>0,00</v>
      </c>
      <c r="D206" s="14" t="str">
        <f t="shared" si="12"/>
        <v/>
      </c>
      <c r="E206" s="14" t="str">
        <f t="shared" si="13"/>
        <v/>
      </c>
      <c r="F206" s="14" t="str">
        <f t="shared" si="14"/>
        <v/>
      </c>
    </row>
    <row r="207" spans="1:6">
      <c r="A207" s="7" t="str">
        <f t="shared" si="15"/>
        <v/>
      </c>
      <c r="B207" s="238" t="str">
        <f t="shared" si="16"/>
        <v>0,00</v>
      </c>
      <c r="C207" s="238" t="str">
        <f t="shared" si="17"/>
        <v>0,00</v>
      </c>
      <c r="D207" s="14" t="str">
        <f t="shared" si="12"/>
        <v/>
      </c>
      <c r="E207" s="14" t="str">
        <f t="shared" si="13"/>
        <v/>
      </c>
      <c r="F207" s="14" t="str">
        <f t="shared" si="14"/>
        <v/>
      </c>
    </row>
    <row r="208" spans="1:6">
      <c r="A208" s="7" t="str">
        <f t="shared" si="15"/>
        <v/>
      </c>
      <c r="B208" s="238" t="str">
        <f t="shared" si="16"/>
        <v>0,00</v>
      </c>
      <c r="C208" s="238" t="str">
        <f t="shared" si="17"/>
        <v>0,00</v>
      </c>
      <c r="D208" s="14" t="str">
        <f t="shared" si="12"/>
        <v/>
      </c>
      <c r="E208" s="14" t="str">
        <f t="shared" si="13"/>
        <v/>
      </c>
      <c r="F208" s="14" t="str">
        <f t="shared" si="14"/>
        <v/>
      </c>
    </row>
    <row r="209" spans="1:6">
      <c r="A209" s="7" t="str">
        <f t="shared" si="15"/>
        <v/>
      </c>
      <c r="B209" s="238" t="str">
        <f t="shared" si="16"/>
        <v>0,00</v>
      </c>
      <c r="C209" s="238" t="str">
        <f t="shared" si="17"/>
        <v>0,00</v>
      </c>
      <c r="D209" s="14" t="str">
        <f t="shared" si="12"/>
        <v/>
      </c>
      <c r="E209" s="14" t="str">
        <f t="shared" si="13"/>
        <v/>
      </c>
      <c r="F209" s="14" t="str">
        <f t="shared" si="14"/>
        <v/>
      </c>
    </row>
    <row r="210" spans="1:6">
      <c r="A210" s="7" t="str">
        <f t="shared" si="15"/>
        <v/>
      </c>
      <c r="B210" s="238" t="str">
        <f t="shared" si="16"/>
        <v>0,00</v>
      </c>
      <c r="C210" s="238" t="str">
        <f t="shared" si="17"/>
        <v>0,00</v>
      </c>
      <c r="D210" s="14" t="str">
        <f t="shared" si="12"/>
        <v/>
      </c>
      <c r="E210" s="14" t="str">
        <f t="shared" si="13"/>
        <v/>
      </c>
      <c r="F210" s="14" t="str">
        <f t="shared" si="14"/>
        <v/>
      </c>
    </row>
    <row r="211" spans="1:6">
      <c r="A211" s="7" t="str">
        <f t="shared" si="15"/>
        <v/>
      </c>
      <c r="B211" s="238" t="str">
        <f t="shared" si="16"/>
        <v>0,00</v>
      </c>
      <c r="C211" s="238" t="str">
        <f t="shared" si="17"/>
        <v>0,00</v>
      </c>
      <c r="D211" s="14" t="str">
        <f t="shared" si="12"/>
        <v/>
      </c>
      <c r="E211" s="14" t="str">
        <f t="shared" si="13"/>
        <v/>
      </c>
      <c r="F211" s="14" t="str">
        <f t="shared" si="14"/>
        <v/>
      </c>
    </row>
    <row r="212" spans="1:6">
      <c r="A212" s="7" t="str">
        <f t="shared" si="15"/>
        <v/>
      </c>
      <c r="B212" s="238" t="str">
        <f t="shared" si="16"/>
        <v>0,00</v>
      </c>
      <c r="C212" s="238" t="str">
        <f t="shared" si="17"/>
        <v>0,00</v>
      </c>
      <c r="D212" s="14" t="str">
        <f t="shared" ref="D212:D275" si="18">IF(A212&lt;=$E$9,$E$13-C212,"")</f>
        <v/>
      </c>
      <c r="E212" s="14" t="str">
        <f t="shared" ref="E212:E275" si="19">IF(A212&lt;=$E$9,E211+D212,"")</f>
        <v/>
      </c>
      <c r="F212" s="14" t="str">
        <f t="shared" ref="F212:F275" si="20">IF(A212&lt;=$E$9,ROUND(($F$19-E212),2),"")</f>
        <v/>
      </c>
    </row>
    <row r="213" spans="1:6">
      <c r="A213" s="7" t="str">
        <f t="shared" ref="A213:A276" si="21">IF(A212&lt;$E$9,A212+1,"")</f>
        <v/>
      </c>
      <c r="B213" s="238" t="str">
        <f t="shared" ref="B213:B276" si="22">IF(A213&lt;=$E$9,C213+D213,"0,00")</f>
        <v>0,00</v>
      </c>
      <c r="C213" s="238" t="str">
        <f t="shared" ref="C213:C276" si="23">IF(A213&lt;=$E$9,F212*($E$8/$E$10),"0,00")</f>
        <v>0,00</v>
      </c>
      <c r="D213" s="14" t="str">
        <f t="shared" si="18"/>
        <v/>
      </c>
      <c r="E213" s="14" t="str">
        <f t="shared" si="19"/>
        <v/>
      </c>
      <c r="F213" s="14" t="str">
        <f t="shared" si="20"/>
        <v/>
      </c>
    </row>
    <row r="214" spans="1:6">
      <c r="A214" s="7" t="str">
        <f t="shared" si="21"/>
        <v/>
      </c>
      <c r="B214" s="238" t="str">
        <f t="shared" si="22"/>
        <v>0,00</v>
      </c>
      <c r="C214" s="238" t="str">
        <f t="shared" si="23"/>
        <v>0,00</v>
      </c>
      <c r="D214" s="14" t="str">
        <f t="shared" si="18"/>
        <v/>
      </c>
      <c r="E214" s="14" t="str">
        <f t="shared" si="19"/>
        <v/>
      </c>
      <c r="F214" s="14" t="str">
        <f t="shared" si="20"/>
        <v/>
      </c>
    </row>
    <row r="215" spans="1:6">
      <c r="A215" s="7" t="str">
        <f t="shared" si="21"/>
        <v/>
      </c>
      <c r="B215" s="238" t="str">
        <f t="shared" si="22"/>
        <v>0,00</v>
      </c>
      <c r="C215" s="238" t="str">
        <f t="shared" si="23"/>
        <v>0,00</v>
      </c>
      <c r="D215" s="14" t="str">
        <f t="shared" si="18"/>
        <v/>
      </c>
      <c r="E215" s="14" t="str">
        <f t="shared" si="19"/>
        <v/>
      </c>
      <c r="F215" s="14" t="str">
        <f t="shared" si="20"/>
        <v/>
      </c>
    </row>
    <row r="216" spans="1:6">
      <c r="A216" s="7" t="str">
        <f t="shared" si="21"/>
        <v/>
      </c>
      <c r="B216" s="238" t="str">
        <f t="shared" si="22"/>
        <v>0,00</v>
      </c>
      <c r="C216" s="238" t="str">
        <f t="shared" si="23"/>
        <v>0,00</v>
      </c>
      <c r="D216" s="14" t="str">
        <f t="shared" si="18"/>
        <v/>
      </c>
      <c r="E216" s="14" t="str">
        <f t="shared" si="19"/>
        <v/>
      </c>
      <c r="F216" s="14" t="str">
        <f t="shared" si="20"/>
        <v/>
      </c>
    </row>
    <row r="217" spans="1:6">
      <c r="A217" s="7" t="str">
        <f t="shared" si="21"/>
        <v/>
      </c>
      <c r="B217" s="238" t="str">
        <f t="shared" si="22"/>
        <v>0,00</v>
      </c>
      <c r="C217" s="238" t="str">
        <f t="shared" si="23"/>
        <v>0,00</v>
      </c>
      <c r="D217" s="14" t="str">
        <f t="shared" si="18"/>
        <v/>
      </c>
      <c r="E217" s="14" t="str">
        <f t="shared" si="19"/>
        <v/>
      </c>
      <c r="F217" s="14" t="str">
        <f t="shared" si="20"/>
        <v/>
      </c>
    </row>
    <row r="218" spans="1:6">
      <c r="A218" s="7" t="str">
        <f t="shared" si="21"/>
        <v/>
      </c>
      <c r="B218" s="238" t="str">
        <f t="shared" si="22"/>
        <v>0,00</v>
      </c>
      <c r="C218" s="238" t="str">
        <f t="shared" si="23"/>
        <v>0,00</v>
      </c>
      <c r="D218" s="14" t="str">
        <f t="shared" si="18"/>
        <v/>
      </c>
      <c r="E218" s="14" t="str">
        <f t="shared" si="19"/>
        <v/>
      </c>
      <c r="F218" s="14" t="str">
        <f t="shared" si="20"/>
        <v/>
      </c>
    </row>
    <row r="219" spans="1:6">
      <c r="A219" s="7" t="str">
        <f t="shared" si="21"/>
        <v/>
      </c>
      <c r="B219" s="238" t="str">
        <f t="shared" si="22"/>
        <v>0,00</v>
      </c>
      <c r="C219" s="238" t="str">
        <f t="shared" si="23"/>
        <v>0,00</v>
      </c>
      <c r="D219" s="14" t="str">
        <f t="shared" si="18"/>
        <v/>
      </c>
      <c r="E219" s="14" t="str">
        <f t="shared" si="19"/>
        <v/>
      </c>
      <c r="F219" s="14" t="str">
        <f t="shared" si="20"/>
        <v/>
      </c>
    </row>
    <row r="220" spans="1:6">
      <c r="A220" s="7" t="str">
        <f t="shared" si="21"/>
        <v/>
      </c>
      <c r="B220" s="238" t="str">
        <f t="shared" si="22"/>
        <v>0,00</v>
      </c>
      <c r="C220" s="238" t="str">
        <f t="shared" si="23"/>
        <v>0,00</v>
      </c>
      <c r="D220" s="14" t="str">
        <f t="shared" si="18"/>
        <v/>
      </c>
      <c r="E220" s="14" t="str">
        <f t="shared" si="19"/>
        <v/>
      </c>
      <c r="F220" s="14" t="str">
        <f t="shared" si="20"/>
        <v/>
      </c>
    </row>
    <row r="221" spans="1:6">
      <c r="A221" s="7" t="str">
        <f t="shared" si="21"/>
        <v/>
      </c>
      <c r="B221" s="238" t="str">
        <f t="shared" si="22"/>
        <v>0,00</v>
      </c>
      <c r="C221" s="238" t="str">
        <f t="shared" si="23"/>
        <v>0,00</v>
      </c>
      <c r="D221" s="14" t="str">
        <f t="shared" si="18"/>
        <v/>
      </c>
      <c r="E221" s="14" t="str">
        <f t="shared" si="19"/>
        <v/>
      </c>
      <c r="F221" s="14" t="str">
        <f t="shared" si="20"/>
        <v/>
      </c>
    </row>
    <row r="222" spans="1:6">
      <c r="A222" s="7" t="str">
        <f t="shared" si="21"/>
        <v/>
      </c>
      <c r="B222" s="238" t="str">
        <f t="shared" si="22"/>
        <v>0,00</v>
      </c>
      <c r="C222" s="238" t="str">
        <f t="shared" si="23"/>
        <v>0,00</v>
      </c>
      <c r="D222" s="14" t="str">
        <f t="shared" si="18"/>
        <v/>
      </c>
      <c r="E222" s="14" t="str">
        <f t="shared" si="19"/>
        <v/>
      </c>
      <c r="F222" s="14" t="str">
        <f t="shared" si="20"/>
        <v/>
      </c>
    </row>
    <row r="223" spans="1:6">
      <c r="A223" s="7" t="str">
        <f t="shared" si="21"/>
        <v/>
      </c>
      <c r="B223" s="238" t="str">
        <f t="shared" si="22"/>
        <v>0,00</v>
      </c>
      <c r="C223" s="238" t="str">
        <f t="shared" si="23"/>
        <v>0,00</v>
      </c>
      <c r="D223" s="14" t="str">
        <f t="shared" si="18"/>
        <v/>
      </c>
      <c r="E223" s="14" t="str">
        <f t="shared" si="19"/>
        <v/>
      </c>
      <c r="F223" s="14" t="str">
        <f t="shared" si="20"/>
        <v/>
      </c>
    </row>
    <row r="224" spans="1:6">
      <c r="A224" s="7" t="str">
        <f t="shared" si="21"/>
        <v/>
      </c>
      <c r="B224" s="238" t="str">
        <f t="shared" si="22"/>
        <v>0,00</v>
      </c>
      <c r="C224" s="238" t="str">
        <f t="shared" si="23"/>
        <v>0,00</v>
      </c>
      <c r="D224" s="14" t="str">
        <f t="shared" si="18"/>
        <v/>
      </c>
      <c r="E224" s="14" t="str">
        <f t="shared" si="19"/>
        <v/>
      </c>
      <c r="F224" s="14" t="str">
        <f t="shared" si="20"/>
        <v/>
      </c>
    </row>
    <row r="225" spans="1:6">
      <c r="A225" s="7" t="str">
        <f t="shared" si="21"/>
        <v/>
      </c>
      <c r="B225" s="238" t="str">
        <f t="shared" si="22"/>
        <v>0,00</v>
      </c>
      <c r="C225" s="238" t="str">
        <f t="shared" si="23"/>
        <v>0,00</v>
      </c>
      <c r="D225" s="14" t="str">
        <f t="shared" si="18"/>
        <v/>
      </c>
      <c r="E225" s="14" t="str">
        <f t="shared" si="19"/>
        <v/>
      </c>
      <c r="F225" s="14" t="str">
        <f t="shared" si="20"/>
        <v/>
      </c>
    </row>
    <row r="226" spans="1:6">
      <c r="A226" s="7" t="str">
        <f t="shared" si="21"/>
        <v/>
      </c>
      <c r="B226" s="238" t="str">
        <f t="shared" si="22"/>
        <v>0,00</v>
      </c>
      <c r="C226" s="238" t="str">
        <f t="shared" si="23"/>
        <v>0,00</v>
      </c>
      <c r="D226" s="14" t="str">
        <f t="shared" si="18"/>
        <v/>
      </c>
      <c r="E226" s="14" t="str">
        <f t="shared" si="19"/>
        <v/>
      </c>
      <c r="F226" s="14" t="str">
        <f t="shared" si="20"/>
        <v/>
      </c>
    </row>
    <row r="227" spans="1:6">
      <c r="A227" s="7" t="str">
        <f t="shared" si="21"/>
        <v/>
      </c>
      <c r="B227" s="238" t="str">
        <f t="shared" si="22"/>
        <v>0,00</v>
      </c>
      <c r="C227" s="238" t="str">
        <f t="shared" si="23"/>
        <v>0,00</v>
      </c>
      <c r="D227" s="14" t="str">
        <f t="shared" si="18"/>
        <v/>
      </c>
      <c r="E227" s="14" t="str">
        <f t="shared" si="19"/>
        <v/>
      </c>
      <c r="F227" s="14" t="str">
        <f t="shared" si="20"/>
        <v/>
      </c>
    </row>
    <row r="228" spans="1:6">
      <c r="A228" s="7" t="str">
        <f t="shared" si="21"/>
        <v/>
      </c>
      <c r="B228" s="238" t="str">
        <f t="shared" si="22"/>
        <v>0,00</v>
      </c>
      <c r="C228" s="238" t="str">
        <f t="shared" si="23"/>
        <v>0,00</v>
      </c>
      <c r="D228" s="14" t="str">
        <f t="shared" si="18"/>
        <v/>
      </c>
      <c r="E228" s="14" t="str">
        <f t="shared" si="19"/>
        <v/>
      </c>
      <c r="F228" s="14" t="str">
        <f t="shared" si="20"/>
        <v/>
      </c>
    </row>
    <row r="229" spans="1:6">
      <c r="A229" s="7" t="str">
        <f t="shared" si="21"/>
        <v/>
      </c>
      <c r="B229" s="238" t="str">
        <f t="shared" si="22"/>
        <v>0,00</v>
      </c>
      <c r="C229" s="238" t="str">
        <f t="shared" si="23"/>
        <v>0,00</v>
      </c>
      <c r="D229" s="14" t="str">
        <f t="shared" si="18"/>
        <v/>
      </c>
      <c r="E229" s="14" t="str">
        <f t="shared" si="19"/>
        <v/>
      </c>
      <c r="F229" s="14" t="str">
        <f t="shared" si="20"/>
        <v/>
      </c>
    </row>
    <row r="230" spans="1:6">
      <c r="A230" s="7" t="str">
        <f t="shared" si="21"/>
        <v/>
      </c>
      <c r="B230" s="238" t="str">
        <f t="shared" si="22"/>
        <v>0,00</v>
      </c>
      <c r="C230" s="238" t="str">
        <f t="shared" si="23"/>
        <v>0,00</v>
      </c>
      <c r="D230" s="14" t="str">
        <f t="shared" si="18"/>
        <v/>
      </c>
      <c r="E230" s="14" t="str">
        <f t="shared" si="19"/>
        <v/>
      </c>
      <c r="F230" s="14" t="str">
        <f t="shared" si="20"/>
        <v/>
      </c>
    </row>
    <row r="231" spans="1:6">
      <c r="A231" s="7" t="str">
        <f t="shared" si="21"/>
        <v/>
      </c>
      <c r="B231" s="238" t="str">
        <f t="shared" si="22"/>
        <v>0,00</v>
      </c>
      <c r="C231" s="238" t="str">
        <f t="shared" si="23"/>
        <v>0,00</v>
      </c>
      <c r="D231" s="14" t="str">
        <f t="shared" si="18"/>
        <v/>
      </c>
      <c r="E231" s="14" t="str">
        <f t="shared" si="19"/>
        <v/>
      </c>
      <c r="F231" s="14" t="str">
        <f t="shared" si="20"/>
        <v/>
      </c>
    </row>
    <row r="232" spans="1:6">
      <c r="A232" s="7" t="str">
        <f t="shared" si="21"/>
        <v/>
      </c>
      <c r="B232" s="238" t="str">
        <f t="shared" si="22"/>
        <v>0,00</v>
      </c>
      <c r="C232" s="238" t="str">
        <f t="shared" si="23"/>
        <v>0,00</v>
      </c>
      <c r="D232" s="14" t="str">
        <f t="shared" si="18"/>
        <v/>
      </c>
      <c r="E232" s="14" t="str">
        <f t="shared" si="19"/>
        <v/>
      </c>
      <c r="F232" s="14" t="str">
        <f t="shared" si="20"/>
        <v/>
      </c>
    </row>
    <row r="233" spans="1:6">
      <c r="A233" s="7" t="str">
        <f t="shared" si="21"/>
        <v/>
      </c>
      <c r="B233" s="238" t="str">
        <f t="shared" si="22"/>
        <v>0,00</v>
      </c>
      <c r="C233" s="238" t="str">
        <f t="shared" si="23"/>
        <v>0,00</v>
      </c>
      <c r="D233" s="14" t="str">
        <f t="shared" si="18"/>
        <v/>
      </c>
      <c r="E233" s="14" t="str">
        <f t="shared" si="19"/>
        <v/>
      </c>
      <c r="F233" s="14" t="str">
        <f t="shared" si="20"/>
        <v/>
      </c>
    </row>
    <row r="234" spans="1:6">
      <c r="A234" s="7" t="str">
        <f t="shared" si="21"/>
        <v/>
      </c>
      <c r="B234" s="238" t="str">
        <f t="shared" si="22"/>
        <v>0,00</v>
      </c>
      <c r="C234" s="238" t="str">
        <f t="shared" si="23"/>
        <v>0,00</v>
      </c>
      <c r="D234" s="14" t="str">
        <f t="shared" si="18"/>
        <v/>
      </c>
      <c r="E234" s="14" t="str">
        <f t="shared" si="19"/>
        <v/>
      </c>
      <c r="F234" s="14" t="str">
        <f t="shared" si="20"/>
        <v/>
      </c>
    </row>
    <row r="235" spans="1:6">
      <c r="A235" s="7" t="str">
        <f t="shared" si="21"/>
        <v/>
      </c>
      <c r="B235" s="238" t="str">
        <f t="shared" si="22"/>
        <v>0,00</v>
      </c>
      <c r="C235" s="238" t="str">
        <f t="shared" si="23"/>
        <v>0,00</v>
      </c>
      <c r="D235" s="14" t="str">
        <f t="shared" si="18"/>
        <v/>
      </c>
      <c r="E235" s="14" t="str">
        <f t="shared" si="19"/>
        <v/>
      </c>
      <c r="F235" s="14" t="str">
        <f t="shared" si="20"/>
        <v/>
      </c>
    </row>
    <row r="236" spans="1:6">
      <c r="A236" s="7" t="str">
        <f t="shared" si="21"/>
        <v/>
      </c>
      <c r="B236" s="238" t="str">
        <f t="shared" si="22"/>
        <v>0,00</v>
      </c>
      <c r="C236" s="238" t="str">
        <f t="shared" si="23"/>
        <v>0,00</v>
      </c>
      <c r="D236" s="14" t="str">
        <f t="shared" si="18"/>
        <v/>
      </c>
      <c r="E236" s="14" t="str">
        <f t="shared" si="19"/>
        <v/>
      </c>
      <c r="F236" s="14" t="str">
        <f t="shared" si="20"/>
        <v/>
      </c>
    </row>
    <row r="237" spans="1:6">
      <c r="A237" s="7" t="str">
        <f t="shared" si="21"/>
        <v/>
      </c>
      <c r="B237" s="238" t="str">
        <f t="shared" si="22"/>
        <v>0,00</v>
      </c>
      <c r="C237" s="238" t="str">
        <f t="shared" si="23"/>
        <v>0,00</v>
      </c>
      <c r="D237" s="14" t="str">
        <f t="shared" si="18"/>
        <v/>
      </c>
      <c r="E237" s="14" t="str">
        <f t="shared" si="19"/>
        <v/>
      </c>
      <c r="F237" s="14" t="str">
        <f t="shared" si="20"/>
        <v/>
      </c>
    </row>
    <row r="238" spans="1:6">
      <c r="A238" s="7" t="str">
        <f t="shared" si="21"/>
        <v/>
      </c>
      <c r="B238" s="238" t="str">
        <f t="shared" si="22"/>
        <v>0,00</v>
      </c>
      <c r="C238" s="238" t="str">
        <f t="shared" si="23"/>
        <v>0,00</v>
      </c>
      <c r="D238" s="14" t="str">
        <f t="shared" si="18"/>
        <v/>
      </c>
      <c r="E238" s="14" t="str">
        <f t="shared" si="19"/>
        <v/>
      </c>
      <c r="F238" s="14" t="str">
        <f t="shared" si="20"/>
        <v/>
      </c>
    </row>
    <row r="239" spans="1:6">
      <c r="A239" s="7" t="str">
        <f t="shared" si="21"/>
        <v/>
      </c>
      <c r="B239" s="238" t="str">
        <f t="shared" si="22"/>
        <v>0,00</v>
      </c>
      <c r="C239" s="238" t="str">
        <f t="shared" si="23"/>
        <v>0,00</v>
      </c>
      <c r="D239" s="14" t="str">
        <f t="shared" si="18"/>
        <v/>
      </c>
      <c r="E239" s="14" t="str">
        <f t="shared" si="19"/>
        <v/>
      </c>
      <c r="F239" s="14" t="str">
        <f t="shared" si="20"/>
        <v/>
      </c>
    </row>
    <row r="240" spans="1:6">
      <c r="A240" s="7" t="str">
        <f t="shared" si="21"/>
        <v/>
      </c>
      <c r="B240" s="238" t="str">
        <f t="shared" si="22"/>
        <v>0,00</v>
      </c>
      <c r="C240" s="238" t="str">
        <f t="shared" si="23"/>
        <v>0,00</v>
      </c>
      <c r="D240" s="14" t="str">
        <f t="shared" si="18"/>
        <v/>
      </c>
      <c r="E240" s="14" t="str">
        <f t="shared" si="19"/>
        <v/>
      </c>
      <c r="F240" s="14" t="str">
        <f t="shared" si="20"/>
        <v/>
      </c>
    </row>
    <row r="241" spans="1:6">
      <c r="A241" s="7" t="str">
        <f t="shared" si="21"/>
        <v/>
      </c>
      <c r="B241" s="238" t="str">
        <f t="shared" si="22"/>
        <v>0,00</v>
      </c>
      <c r="C241" s="238" t="str">
        <f t="shared" si="23"/>
        <v>0,00</v>
      </c>
      <c r="D241" s="14" t="str">
        <f t="shared" si="18"/>
        <v/>
      </c>
      <c r="E241" s="14" t="str">
        <f t="shared" si="19"/>
        <v/>
      </c>
      <c r="F241" s="14" t="str">
        <f t="shared" si="20"/>
        <v/>
      </c>
    </row>
    <row r="242" spans="1:6">
      <c r="A242" s="7" t="str">
        <f t="shared" si="21"/>
        <v/>
      </c>
      <c r="B242" s="238" t="str">
        <f t="shared" si="22"/>
        <v>0,00</v>
      </c>
      <c r="C242" s="238" t="str">
        <f t="shared" si="23"/>
        <v>0,00</v>
      </c>
      <c r="D242" s="14" t="str">
        <f t="shared" si="18"/>
        <v/>
      </c>
      <c r="E242" s="14" t="str">
        <f t="shared" si="19"/>
        <v/>
      </c>
      <c r="F242" s="14" t="str">
        <f t="shared" si="20"/>
        <v/>
      </c>
    </row>
    <row r="243" spans="1:6">
      <c r="A243" s="7" t="str">
        <f t="shared" si="21"/>
        <v/>
      </c>
      <c r="B243" s="238" t="str">
        <f t="shared" si="22"/>
        <v>0,00</v>
      </c>
      <c r="C243" s="238" t="str">
        <f t="shared" si="23"/>
        <v>0,00</v>
      </c>
      <c r="D243" s="14" t="str">
        <f t="shared" si="18"/>
        <v/>
      </c>
      <c r="E243" s="14" t="str">
        <f t="shared" si="19"/>
        <v/>
      </c>
      <c r="F243" s="14" t="str">
        <f t="shared" si="20"/>
        <v/>
      </c>
    </row>
    <row r="244" spans="1:6">
      <c r="A244" s="7" t="str">
        <f t="shared" si="21"/>
        <v/>
      </c>
      <c r="B244" s="238" t="str">
        <f t="shared" si="22"/>
        <v>0,00</v>
      </c>
      <c r="C244" s="238" t="str">
        <f t="shared" si="23"/>
        <v>0,00</v>
      </c>
      <c r="D244" s="14" t="str">
        <f t="shared" si="18"/>
        <v/>
      </c>
      <c r="E244" s="14" t="str">
        <f t="shared" si="19"/>
        <v/>
      </c>
      <c r="F244" s="14" t="str">
        <f t="shared" si="20"/>
        <v/>
      </c>
    </row>
    <row r="245" spans="1:6">
      <c r="A245" s="7" t="str">
        <f t="shared" si="21"/>
        <v/>
      </c>
      <c r="B245" s="238" t="str">
        <f t="shared" si="22"/>
        <v>0,00</v>
      </c>
      <c r="C245" s="238" t="str">
        <f t="shared" si="23"/>
        <v>0,00</v>
      </c>
      <c r="D245" s="14" t="str">
        <f t="shared" si="18"/>
        <v/>
      </c>
      <c r="E245" s="14" t="str">
        <f t="shared" si="19"/>
        <v/>
      </c>
      <c r="F245" s="14" t="str">
        <f t="shared" si="20"/>
        <v/>
      </c>
    </row>
    <row r="246" spans="1:6">
      <c r="A246" s="7" t="str">
        <f t="shared" si="21"/>
        <v/>
      </c>
      <c r="B246" s="238" t="str">
        <f t="shared" si="22"/>
        <v>0,00</v>
      </c>
      <c r="C246" s="238" t="str">
        <f t="shared" si="23"/>
        <v>0,00</v>
      </c>
      <c r="D246" s="14" t="str">
        <f t="shared" si="18"/>
        <v/>
      </c>
      <c r="E246" s="14" t="str">
        <f t="shared" si="19"/>
        <v/>
      </c>
      <c r="F246" s="14" t="str">
        <f t="shared" si="20"/>
        <v/>
      </c>
    </row>
    <row r="247" spans="1:6">
      <c r="A247" s="7" t="str">
        <f t="shared" si="21"/>
        <v/>
      </c>
      <c r="B247" s="238" t="str">
        <f t="shared" si="22"/>
        <v>0,00</v>
      </c>
      <c r="C247" s="238" t="str">
        <f t="shared" si="23"/>
        <v>0,00</v>
      </c>
      <c r="D247" s="14" t="str">
        <f t="shared" si="18"/>
        <v/>
      </c>
      <c r="E247" s="14" t="str">
        <f t="shared" si="19"/>
        <v/>
      </c>
      <c r="F247" s="14" t="str">
        <f t="shared" si="20"/>
        <v/>
      </c>
    </row>
    <row r="248" spans="1:6">
      <c r="A248" s="7" t="str">
        <f t="shared" si="21"/>
        <v/>
      </c>
      <c r="B248" s="238" t="str">
        <f t="shared" si="22"/>
        <v>0,00</v>
      </c>
      <c r="C248" s="238" t="str">
        <f t="shared" si="23"/>
        <v>0,00</v>
      </c>
      <c r="D248" s="14" t="str">
        <f t="shared" si="18"/>
        <v/>
      </c>
      <c r="E248" s="14" t="str">
        <f t="shared" si="19"/>
        <v/>
      </c>
      <c r="F248" s="14" t="str">
        <f t="shared" si="20"/>
        <v/>
      </c>
    </row>
    <row r="249" spans="1:6">
      <c r="A249" s="7" t="str">
        <f t="shared" si="21"/>
        <v/>
      </c>
      <c r="B249" s="238" t="str">
        <f t="shared" si="22"/>
        <v>0,00</v>
      </c>
      <c r="C249" s="238" t="str">
        <f t="shared" si="23"/>
        <v>0,00</v>
      </c>
      <c r="D249" s="14" t="str">
        <f t="shared" si="18"/>
        <v/>
      </c>
      <c r="E249" s="14" t="str">
        <f t="shared" si="19"/>
        <v/>
      </c>
      <c r="F249" s="14" t="str">
        <f t="shared" si="20"/>
        <v/>
      </c>
    </row>
    <row r="250" spans="1:6">
      <c r="A250" s="7" t="str">
        <f t="shared" si="21"/>
        <v/>
      </c>
      <c r="B250" s="238" t="str">
        <f t="shared" si="22"/>
        <v>0,00</v>
      </c>
      <c r="C250" s="238" t="str">
        <f t="shared" si="23"/>
        <v>0,00</v>
      </c>
      <c r="D250" s="14" t="str">
        <f t="shared" si="18"/>
        <v/>
      </c>
      <c r="E250" s="14" t="str">
        <f t="shared" si="19"/>
        <v/>
      </c>
      <c r="F250" s="14" t="str">
        <f t="shared" si="20"/>
        <v/>
      </c>
    </row>
    <row r="251" spans="1:6">
      <c r="A251" s="7" t="str">
        <f t="shared" si="21"/>
        <v/>
      </c>
      <c r="B251" s="238" t="str">
        <f t="shared" si="22"/>
        <v>0,00</v>
      </c>
      <c r="C251" s="238" t="str">
        <f t="shared" si="23"/>
        <v>0,00</v>
      </c>
      <c r="D251" s="14" t="str">
        <f t="shared" si="18"/>
        <v/>
      </c>
      <c r="E251" s="14" t="str">
        <f t="shared" si="19"/>
        <v/>
      </c>
      <c r="F251" s="14" t="str">
        <f t="shared" si="20"/>
        <v/>
      </c>
    </row>
    <row r="252" spans="1:6">
      <c r="A252" s="7" t="str">
        <f t="shared" si="21"/>
        <v/>
      </c>
      <c r="B252" s="238" t="str">
        <f t="shared" si="22"/>
        <v>0,00</v>
      </c>
      <c r="C252" s="238" t="str">
        <f t="shared" si="23"/>
        <v>0,00</v>
      </c>
      <c r="D252" s="14" t="str">
        <f t="shared" si="18"/>
        <v/>
      </c>
      <c r="E252" s="14" t="str">
        <f t="shared" si="19"/>
        <v/>
      </c>
      <c r="F252" s="14" t="str">
        <f t="shared" si="20"/>
        <v/>
      </c>
    </row>
    <row r="253" spans="1:6">
      <c r="A253" s="7" t="str">
        <f t="shared" si="21"/>
        <v/>
      </c>
      <c r="B253" s="238" t="str">
        <f t="shared" si="22"/>
        <v>0,00</v>
      </c>
      <c r="C253" s="238" t="str">
        <f t="shared" si="23"/>
        <v>0,00</v>
      </c>
      <c r="D253" s="14" t="str">
        <f t="shared" si="18"/>
        <v/>
      </c>
      <c r="E253" s="14" t="str">
        <f t="shared" si="19"/>
        <v/>
      </c>
      <c r="F253" s="14" t="str">
        <f t="shared" si="20"/>
        <v/>
      </c>
    </row>
    <row r="254" spans="1:6">
      <c r="A254" s="7" t="str">
        <f t="shared" si="21"/>
        <v/>
      </c>
      <c r="B254" s="238" t="str">
        <f t="shared" si="22"/>
        <v>0,00</v>
      </c>
      <c r="C254" s="238" t="str">
        <f t="shared" si="23"/>
        <v>0,00</v>
      </c>
      <c r="D254" s="14" t="str">
        <f t="shared" si="18"/>
        <v/>
      </c>
      <c r="E254" s="14" t="str">
        <f t="shared" si="19"/>
        <v/>
      </c>
      <c r="F254" s="14" t="str">
        <f t="shared" si="20"/>
        <v/>
      </c>
    </row>
    <row r="255" spans="1:6">
      <c r="A255" s="7" t="str">
        <f t="shared" si="21"/>
        <v/>
      </c>
      <c r="B255" s="238" t="str">
        <f t="shared" si="22"/>
        <v>0,00</v>
      </c>
      <c r="C255" s="238" t="str">
        <f t="shared" si="23"/>
        <v>0,00</v>
      </c>
      <c r="D255" s="14" t="str">
        <f t="shared" si="18"/>
        <v/>
      </c>
      <c r="E255" s="14" t="str">
        <f t="shared" si="19"/>
        <v/>
      </c>
      <c r="F255" s="14" t="str">
        <f t="shared" si="20"/>
        <v/>
      </c>
    </row>
    <row r="256" spans="1:6">
      <c r="A256" s="7" t="str">
        <f t="shared" si="21"/>
        <v/>
      </c>
      <c r="B256" s="238" t="str">
        <f t="shared" si="22"/>
        <v>0,00</v>
      </c>
      <c r="C256" s="238" t="str">
        <f t="shared" si="23"/>
        <v>0,00</v>
      </c>
      <c r="D256" s="14" t="str">
        <f t="shared" si="18"/>
        <v/>
      </c>
      <c r="E256" s="14" t="str">
        <f t="shared" si="19"/>
        <v/>
      </c>
      <c r="F256" s="14" t="str">
        <f t="shared" si="20"/>
        <v/>
      </c>
    </row>
    <row r="257" spans="1:6">
      <c r="A257" s="7" t="str">
        <f t="shared" si="21"/>
        <v/>
      </c>
      <c r="B257" s="238" t="str">
        <f t="shared" si="22"/>
        <v>0,00</v>
      </c>
      <c r="C257" s="238" t="str">
        <f t="shared" si="23"/>
        <v>0,00</v>
      </c>
      <c r="D257" s="14" t="str">
        <f t="shared" si="18"/>
        <v/>
      </c>
      <c r="E257" s="14" t="str">
        <f t="shared" si="19"/>
        <v/>
      </c>
      <c r="F257" s="14" t="str">
        <f t="shared" si="20"/>
        <v/>
      </c>
    </row>
    <row r="258" spans="1:6">
      <c r="A258" s="7" t="str">
        <f t="shared" si="21"/>
        <v/>
      </c>
      <c r="B258" s="238" t="str">
        <f t="shared" si="22"/>
        <v>0,00</v>
      </c>
      <c r="C258" s="238" t="str">
        <f t="shared" si="23"/>
        <v>0,00</v>
      </c>
      <c r="D258" s="14" t="str">
        <f t="shared" si="18"/>
        <v/>
      </c>
      <c r="E258" s="14" t="str">
        <f t="shared" si="19"/>
        <v/>
      </c>
      <c r="F258" s="14" t="str">
        <f t="shared" si="20"/>
        <v/>
      </c>
    </row>
    <row r="259" spans="1:6">
      <c r="A259" s="7" t="str">
        <f t="shared" si="21"/>
        <v/>
      </c>
      <c r="B259" s="238" t="str">
        <f t="shared" si="22"/>
        <v>0,00</v>
      </c>
      <c r="C259" s="238" t="str">
        <f t="shared" si="23"/>
        <v>0,00</v>
      </c>
      <c r="D259" s="14" t="str">
        <f t="shared" si="18"/>
        <v/>
      </c>
      <c r="E259" s="14" t="str">
        <f t="shared" si="19"/>
        <v/>
      </c>
      <c r="F259" s="14" t="str">
        <f t="shared" si="20"/>
        <v/>
      </c>
    </row>
    <row r="260" spans="1:6">
      <c r="A260" s="7" t="str">
        <f t="shared" si="21"/>
        <v/>
      </c>
      <c r="B260" s="238" t="str">
        <f t="shared" si="22"/>
        <v>0,00</v>
      </c>
      <c r="C260" s="238" t="str">
        <f t="shared" si="23"/>
        <v>0,00</v>
      </c>
      <c r="D260" s="14" t="str">
        <f t="shared" si="18"/>
        <v/>
      </c>
      <c r="E260" s="14" t="str">
        <f t="shared" si="19"/>
        <v/>
      </c>
      <c r="F260" s="14" t="str">
        <f t="shared" si="20"/>
        <v/>
      </c>
    </row>
    <row r="261" spans="1:6">
      <c r="A261" s="7" t="str">
        <f t="shared" si="21"/>
        <v/>
      </c>
      <c r="B261" s="238" t="str">
        <f t="shared" si="22"/>
        <v>0,00</v>
      </c>
      <c r="C261" s="238" t="str">
        <f t="shared" si="23"/>
        <v>0,00</v>
      </c>
      <c r="D261" s="14" t="str">
        <f t="shared" si="18"/>
        <v/>
      </c>
      <c r="E261" s="14" t="str">
        <f t="shared" si="19"/>
        <v/>
      </c>
      <c r="F261" s="14" t="str">
        <f t="shared" si="20"/>
        <v/>
      </c>
    </row>
    <row r="262" spans="1:6">
      <c r="A262" s="7" t="str">
        <f t="shared" si="21"/>
        <v/>
      </c>
      <c r="B262" s="238" t="str">
        <f t="shared" si="22"/>
        <v>0,00</v>
      </c>
      <c r="C262" s="238" t="str">
        <f t="shared" si="23"/>
        <v>0,00</v>
      </c>
      <c r="D262" s="14" t="str">
        <f t="shared" si="18"/>
        <v/>
      </c>
      <c r="E262" s="14" t="str">
        <f t="shared" si="19"/>
        <v/>
      </c>
      <c r="F262" s="14" t="str">
        <f t="shared" si="20"/>
        <v/>
      </c>
    </row>
    <row r="263" spans="1:6">
      <c r="A263" s="7" t="str">
        <f t="shared" si="21"/>
        <v/>
      </c>
      <c r="B263" s="238" t="str">
        <f t="shared" si="22"/>
        <v>0,00</v>
      </c>
      <c r="C263" s="238" t="str">
        <f t="shared" si="23"/>
        <v>0,00</v>
      </c>
      <c r="D263" s="14" t="str">
        <f t="shared" si="18"/>
        <v/>
      </c>
      <c r="E263" s="14" t="str">
        <f t="shared" si="19"/>
        <v/>
      </c>
      <c r="F263" s="14" t="str">
        <f t="shared" si="20"/>
        <v/>
      </c>
    </row>
    <row r="264" spans="1:6">
      <c r="A264" s="7" t="str">
        <f t="shared" si="21"/>
        <v/>
      </c>
      <c r="B264" s="238" t="str">
        <f t="shared" si="22"/>
        <v>0,00</v>
      </c>
      <c r="C264" s="238" t="str">
        <f t="shared" si="23"/>
        <v>0,00</v>
      </c>
      <c r="D264" s="14" t="str">
        <f t="shared" si="18"/>
        <v/>
      </c>
      <c r="E264" s="14" t="str">
        <f t="shared" si="19"/>
        <v/>
      </c>
      <c r="F264" s="14" t="str">
        <f t="shared" si="20"/>
        <v/>
      </c>
    </row>
    <row r="265" spans="1:6">
      <c r="A265" s="7" t="str">
        <f t="shared" si="21"/>
        <v/>
      </c>
      <c r="B265" s="238" t="str">
        <f t="shared" si="22"/>
        <v>0,00</v>
      </c>
      <c r="C265" s="238" t="str">
        <f t="shared" si="23"/>
        <v>0,00</v>
      </c>
      <c r="D265" s="14" t="str">
        <f t="shared" si="18"/>
        <v/>
      </c>
      <c r="E265" s="14" t="str">
        <f t="shared" si="19"/>
        <v/>
      </c>
      <c r="F265" s="14" t="str">
        <f t="shared" si="20"/>
        <v/>
      </c>
    </row>
    <row r="266" spans="1:6">
      <c r="A266" s="7" t="str">
        <f t="shared" si="21"/>
        <v/>
      </c>
      <c r="B266" s="238" t="str">
        <f t="shared" si="22"/>
        <v>0,00</v>
      </c>
      <c r="C266" s="238" t="str">
        <f t="shared" si="23"/>
        <v>0,00</v>
      </c>
      <c r="D266" s="14" t="str">
        <f t="shared" si="18"/>
        <v/>
      </c>
      <c r="E266" s="14" t="str">
        <f t="shared" si="19"/>
        <v/>
      </c>
      <c r="F266" s="14" t="str">
        <f t="shared" si="20"/>
        <v/>
      </c>
    </row>
    <row r="267" spans="1:6">
      <c r="A267" s="7" t="str">
        <f t="shared" si="21"/>
        <v/>
      </c>
      <c r="B267" s="238" t="str">
        <f t="shared" si="22"/>
        <v>0,00</v>
      </c>
      <c r="C267" s="238" t="str">
        <f t="shared" si="23"/>
        <v>0,00</v>
      </c>
      <c r="D267" s="14" t="str">
        <f t="shared" si="18"/>
        <v/>
      </c>
      <c r="E267" s="14" t="str">
        <f t="shared" si="19"/>
        <v/>
      </c>
      <c r="F267" s="14" t="str">
        <f t="shared" si="20"/>
        <v/>
      </c>
    </row>
    <row r="268" spans="1:6">
      <c r="A268" s="7" t="str">
        <f t="shared" si="21"/>
        <v/>
      </c>
      <c r="B268" s="238" t="str">
        <f t="shared" si="22"/>
        <v>0,00</v>
      </c>
      <c r="C268" s="238" t="str">
        <f t="shared" si="23"/>
        <v>0,00</v>
      </c>
      <c r="D268" s="14" t="str">
        <f t="shared" si="18"/>
        <v/>
      </c>
      <c r="E268" s="14" t="str">
        <f t="shared" si="19"/>
        <v/>
      </c>
      <c r="F268" s="14" t="str">
        <f t="shared" si="20"/>
        <v/>
      </c>
    </row>
    <row r="269" spans="1:6">
      <c r="A269" s="7" t="str">
        <f t="shared" si="21"/>
        <v/>
      </c>
      <c r="B269" s="238" t="str">
        <f t="shared" si="22"/>
        <v>0,00</v>
      </c>
      <c r="C269" s="238" t="str">
        <f t="shared" si="23"/>
        <v>0,00</v>
      </c>
      <c r="D269" s="14" t="str">
        <f t="shared" si="18"/>
        <v/>
      </c>
      <c r="E269" s="14" t="str">
        <f t="shared" si="19"/>
        <v/>
      </c>
      <c r="F269" s="14" t="str">
        <f t="shared" si="20"/>
        <v/>
      </c>
    </row>
    <row r="270" spans="1:6">
      <c r="A270" s="7" t="str">
        <f t="shared" si="21"/>
        <v/>
      </c>
      <c r="B270" s="238" t="str">
        <f t="shared" si="22"/>
        <v>0,00</v>
      </c>
      <c r="C270" s="238" t="str">
        <f t="shared" si="23"/>
        <v>0,00</v>
      </c>
      <c r="D270" s="14" t="str">
        <f t="shared" si="18"/>
        <v/>
      </c>
      <c r="E270" s="14" t="str">
        <f t="shared" si="19"/>
        <v/>
      </c>
      <c r="F270" s="14" t="str">
        <f t="shared" si="20"/>
        <v/>
      </c>
    </row>
    <row r="271" spans="1:6">
      <c r="A271" s="7" t="str">
        <f t="shared" si="21"/>
        <v/>
      </c>
      <c r="B271" s="238" t="str">
        <f t="shared" si="22"/>
        <v>0,00</v>
      </c>
      <c r="C271" s="238" t="str">
        <f t="shared" si="23"/>
        <v>0,00</v>
      </c>
      <c r="D271" s="14" t="str">
        <f t="shared" si="18"/>
        <v/>
      </c>
      <c r="E271" s="14" t="str">
        <f t="shared" si="19"/>
        <v/>
      </c>
      <c r="F271" s="14" t="str">
        <f t="shared" si="20"/>
        <v/>
      </c>
    </row>
    <row r="272" spans="1:6">
      <c r="A272" s="7" t="str">
        <f t="shared" si="21"/>
        <v/>
      </c>
      <c r="B272" s="238" t="str">
        <f t="shared" si="22"/>
        <v>0,00</v>
      </c>
      <c r="C272" s="238" t="str">
        <f t="shared" si="23"/>
        <v>0,00</v>
      </c>
      <c r="D272" s="14" t="str">
        <f t="shared" si="18"/>
        <v/>
      </c>
      <c r="E272" s="14" t="str">
        <f t="shared" si="19"/>
        <v/>
      </c>
      <c r="F272" s="14" t="str">
        <f t="shared" si="20"/>
        <v/>
      </c>
    </row>
    <row r="273" spans="1:6">
      <c r="A273" s="7" t="str">
        <f t="shared" si="21"/>
        <v/>
      </c>
      <c r="B273" s="238" t="str">
        <f t="shared" si="22"/>
        <v>0,00</v>
      </c>
      <c r="C273" s="238" t="str">
        <f t="shared" si="23"/>
        <v>0,00</v>
      </c>
      <c r="D273" s="14" t="str">
        <f t="shared" si="18"/>
        <v/>
      </c>
      <c r="E273" s="14" t="str">
        <f t="shared" si="19"/>
        <v/>
      </c>
      <c r="F273" s="14" t="str">
        <f t="shared" si="20"/>
        <v/>
      </c>
    </row>
    <row r="274" spans="1:6">
      <c r="A274" s="7" t="str">
        <f t="shared" si="21"/>
        <v/>
      </c>
      <c r="B274" s="238" t="str">
        <f t="shared" si="22"/>
        <v>0,00</v>
      </c>
      <c r="C274" s="238" t="str">
        <f t="shared" si="23"/>
        <v>0,00</v>
      </c>
      <c r="D274" s="14" t="str">
        <f t="shared" si="18"/>
        <v/>
      </c>
      <c r="E274" s="14" t="str">
        <f t="shared" si="19"/>
        <v/>
      </c>
      <c r="F274" s="14" t="str">
        <f t="shared" si="20"/>
        <v/>
      </c>
    </row>
    <row r="275" spans="1:6">
      <c r="A275" s="7" t="str">
        <f t="shared" si="21"/>
        <v/>
      </c>
      <c r="B275" s="238" t="str">
        <f t="shared" si="22"/>
        <v>0,00</v>
      </c>
      <c r="C275" s="238" t="str">
        <f t="shared" si="23"/>
        <v>0,00</v>
      </c>
      <c r="D275" s="14" t="str">
        <f t="shared" si="18"/>
        <v/>
      </c>
      <c r="E275" s="14" t="str">
        <f t="shared" si="19"/>
        <v/>
      </c>
      <c r="F275" s="14" t="str">
        <f t="shared" si="20"/>
        <v/>
      </c>
    </row>
    <row r="276" spans="1:6">
      <c r="A276" s="7" t="str">
        <f t="shared" si="21"/>
        <v/>
      </c>
      <c r="B276" s="238" t="str">
        <f t="shared" si="22"/>
        <v>0,00</v>
      </c>
      <c r="C276" s="238" t="str">
        <f t="shared" si="23"/>
        <v>0,00</v>
      </c>
      <c r="D276" s="14" t="str">
        <f t="shared" ref="D276:D339" si="24">IF(A276&lt;=$E$9,$E$13-C276,"")</f>
        <v/>
      </c>
      <c r="E276" s="14" t="str">
        <f t="shared" ref="E276:E339" si="25">IF(A276&lt;=$E$9,E275+D276,"")</f>
        <v/>
      </c>
      <c r="F276" s="14" t="str">
        <f t="shared" ref="F276:F339" si="26">IF(A276&lt;=$E$9,ROUND(($F$19-E276),2),"")</f>
        <v/>
      </c>
    </row>
    <row r="277" spans="1:6">
      <c r="A277" s="7" t="str">
        <f t="shared" ref="A277:A340" si="27">IF(A276&lt;$E$9,A276+1,"")</f>
        <v/>
      </c>
      <c r="B277" s="238" t="str">
        <f t="shared" ref="B277:B340" si="28">IF(A277&lt;=$E$9,C277+D277,"0,00")</f>
        <v>0,00</v>
      </c>
      <c r="C277" s="238" t="str">
        <f t="shared" ref="C277:C340" si="29">IF(A277&lt;=$E$9,F276*($E$8/$E$10),"0,00")</f>
        <v>0,00</v>
      </c>
      <c r="D277" s="14" t="str">
        <f t="shared" si="24"/>
        <v/>
      </c>
      <c r="E277" s="14" t="str">
        <f t="shared" si="25"/>
        <v/>
      </c>
      <c r="F277" s="14" t="str">
        <f t="shared" si="26"/>
        <v/>
      </c>
    </row>
    <row r="278" spans="1:6">
      <c r="A278" s="7" t="str">
        <f t="shared" si="27"/>
        <v/>
      </c>
      <c r="B278" s="238" t="str">
        <f t="shared" si="28"/>
        <v>0,00</v>
      </c>
      <c r="C278" s="238" t="str">
        <f t="shared" si="29"/>
        <v>0,00</v>
      </c>
      <c r="D278" s="14" t="str">
        <f t="shared" si="24"/>
        <v/>
      </c>
      <c r="E278" s="14" t="str">
        <f t="shared" si="25"/>
        <v/>
      </c>
      <c r="F278" s="14" t="str">
        <f t="shared" si="26"/>
        <v/>
      </c>
    </row>
    <row r="279" spans="1:6">
      <c r="A279" s="7" t="str">
        <f t="shared" si="27"/>
        <v/>
      </c>
      <c r="B279" s="238" t="str">
        <f t="shared" si="28"/>
        <v>0,00</v>
      </c>
      <c r="C279" s="238" t="str">
        <f t="shared" si="29"/>
        <v>0,00</v>
      </c>
      <c r="D279" s="14" t="str">
        <f t="shared" si="24"/>
        <v/>
      </c>
      <c r="E279" s="14" t="str">
        <f t="shared" si="25"/>
        <v/>
      </c>
      <c r="F279" s="14" t="str">
        <f t="shared" si="26"/>
        <v/>
      </c>
    </row>
    <row r="280" spans="1:6">
      <c r="A280" s="7" t="str">
        <f t="shared" si="27"/>
        <v/>
      </c>
      <c r="B280" s="238" t="str">
        <f t="shared" si="28"/>
        <v>0,00</v>
      </c>
      <c r="C280" s="238" t="str">
        <f t="shared" si="29"/>
        <v>0,00</v>
      </c>
      <c r="D280" s="14" t="str">
        <f t="shared" si="24"/>
        <v/>
      </c>
      <c r="E280" s="14" t="str">
        <f t="shared" si="25"/>
        <v/>
      </c>
      <c r="F280" s="14" t="str">
        <f t="shared" si="26"/>
        <v/>
      </c>
    </row>
    <row r="281" spans="1:6">
      <c r="A281" s="7" t="str">
        <f t="shared" si="27"/>
        <v/>
      </c>
      <c r="B281" s="238" t="str">
        <f t="shared" si="28"/>
        <v>0,00</v>
      </c>
      <c r="C281" s="238" t="str">
        <f t="shared" si="29"/>
        <v>0,00</v>
      </c>
      <c r="D281" s="14" t="str">
        <f t="shared" si="24"/>
        <v/>
      </c>
      <c r="E281" s="14" t="str">
        <f t="shared" si="25"/>
        <v/>
      </c>
      <c r="F281" s="14" t="str">
        <f t="shared" si="26"/>
        <v/>
      </c>
    </row>
    <row r="282" spans="1:6">
      <c r="A282" s="7" t="str">
        <f t="shared" si="27"/>
        <v/>
      </c>
      <c r="B282" s="238" t="str">
        <f t="shared" si="28"/>
        <v>0,00</v>
      </c>
      <c r="C282" s="238" t="str">
        <f t="shared" si="29"/>
        <v>0,00</v>
      </c>
      <c r="D282" s="14" t="str">
        <f t="shared" si="24"/>
        <v/>
      </c>
      <c r="E282" s="14" t="str">
        <f t="shared" si="25"/>
        <v/>
      </c>
      <c r="F282" s="14" t="str">
        <f t="shared" si="26"/>
        <v/>
      </c>
    </row>
    <row r="283" spans="1:6">
      <c r="A283" s="7" t="str">
        <f t="shared" si="27"/>
        <v/>
      </c>
      <c r="B283" s="238" t="str">
        <f t="shared" si="28"/>
        <v>0,00</v>
      </c>
      <c r="C283" s="238" t="str">
        <f t="shared" si="29"/>
        <v>0,00</v>
      </c>
      <c r="D283" s="14" t="str">
        <f t="shared" si="24"/>
        <v/>
      </c>
      <c r="E283" s="14" t="str">
        <f t="shared" si="25"/>
        <v/>
      </c>
      <c r="F283" s="14" t="str">
        <f t="shared" si="26"/>
        <v/>
      </c>
    </row>
    <row r="284" spans="1:6">
      <c r="A284" s="7" t="str">
        <f t="shared" si="27"/>
        <v/>
      </c>
      <c r="B284" s="238" t="str">
        <f t="shared" si="28"/>
        <v>0,00</v>
      </c>
      <c r="C284" s="238" t="str">
        <f t="shared" si="29"/>
        <v>0,00</v>
      </c>
      <c r="D284" s="14" t="str">
        <f t="shared" si="24"/>
        <v/>
      </c>
      <c r="E284" s="14" t="str">
        <f t="shared" si="25"/>
        <v/>
      </c>
      <c r="F284" s="14" t="str">
        <f t="shared" si="26"/>
        <v/>
      </c>
    </row>
    <row r="285" spans="1:6">
      <c r="A285" s="7" t="str">
        <f t="shared" si="27"/>
        <v/>
      </c>
      <c r="B285" s="238" t="str">
        <f t="shared" si="28"/>
        <v>0,00</v>
      </c>
      <c r="C285" s="238" t="str">
        <f t="shared" si="29"/>
        <v>0,00</v>
      </c>
      <c r="D285" s="14" t="str">
        <f t="shared" si="24"/>
        <v/>
      </c>
      <c r="E285" s="14" t="str">
        <f t="shared" si="25"/>
        <v/>
      </c>
      <c r="F285" s="14" t="str">
        <f t="shared" si="26"/>
        <v/>
      </c>
    </row>
    <row r="286" spans="1:6">
      <c r="A286" s="7" t="str">
        <f t="shared" si="27"/>
        <v/>
      </c>
      <c r="B286" s="238" t="str">
        <f t="shared" si="28"/>
        <v>0,00</v>
      </c>
      <c r="C286" s="238" t="str">
        <f t="shared" si="29"/>
        <v>0,00</v>
      </c>
      <c r="D286" s="14" t="str">
        <f t="shared" si="24"/>
        <v/>
      </c>
      <c r="E286" s="14" t="str">
        <f t="shared" si="25"/>
        <v/>
      </c>
      <c r="F286" s="14" t="str">
        <f t="shared" si="26"/>
        <v/>
      </c>
    </row>
    <row r="287" spans="1:6">
      <c r="A287" s="7" t="str">
        <f t="shared" si="27"/>
        <v/>
      </c>
      <c r="B287" s="238" t="str">
        <f t="shared" si="28"/>
        <v>0,00</v>
      </c>
      <c r="C287" s="238" t="str">
        <f t="shared" si="29"/>
        <v>0,00</v>
      </c>
      <c r="D287" s="14" t="str">
        <f t="shared" si="24"/>
        <v/>
      </c>
      <c r="E287" s="14" t="str">
        <f t="shared" si="25"/>
        <v/>
      </c>
      <c r="F287" s="14" t="str">
        <f t="shared" si="26"/>
        <v/>
      </c>
    </row>
    <row r="288" spans="1:6">
      <c r="A288" s="7" t="str">
        <f t="shared" si="27"/>
        <v/>
      </c>
      <c r="B288" s="238" t="str">
        <f t="shared" si="28"/>
        <v>0,00</v>
      </c>
      <c r="C288" s="238" t="str">
        <f t="shared" si="29"/>
        <v>0,00</v>
      </c>
      <c r="D288" s="14" t="str">
        <f t="shared" si="24"/>
        <v/>
      </c>
      <c r="E288" s="14" t="str">
        <f t="shared" si="25"/>
        <v/>
      </c>
      <c r="F288" s="14" t="str">
        <f t="shared" si="26"/>
        <v/>
      </c>
    </row>
    <row r="289" spans="1:6">
      <c r="A289" s="7" t="str">
        <f t="shared" si="27"/>
        <v/>
      </c>
      <c r="B289" s="238" t="str">
        <f t="shared" si="28"/>
        <v>0,00</v>
      </c>
      <c r="C289" s="238" t="str">
        <f t="shared" si="29"/>
        <v>0,00</v>
      </c>
      <c r="D289" s="14" t="str">
        <f t="shared" si="24"/>
        <v/>
      </c>
      <c r="E289" s="14" t="str">
        <f t="shared" si="25"/>
        <v/>
      </c>
      <c r="F289" s="14" t="str">
        <f t="shared" si="26"/>
        <v/>
      </c>
    </row>
    <row r="290" spans="1:6">
      <c r="A290" s="7" t="str">
        <f t="shared" si="27"/>
        <v/>
      </c>
      <c r="B290" s="238" t="str">
        <f t="shared" si="28"/>
        <v>0,00</v>
      </c>
      <c r="C290" s="238" t="str">
        <f t="shared" si="29"/>
        <v>0,00</v>
      </c>
      <c r="D290" s="14" t="str">
        <f t="shared" si="24"/>
        <v/>
      </c>
      <c r="E290" s="14" t="str">
        <f t="shared" si="25"/>
        <v/>
      </c>
      <c r="F290" s="14" t="str">
        <f t="shared" si="26"/>
        <v/>
      </c>
    </row>
    <row r="291" spans="1:6">
      <c r="A291" s="7" t="str">
        <f t="shared" si="27"/>
        <v/>
      </c>
      <c r="B291" s="238" t="str">
        <f t="shared" si="28"/>
        <v>0,00</v>
      </c>
      <c r="C291" s="238" t="str">
        <f t="shared" si="29"/>
        <v>0,00</v>
      </c>
      <c r="D291" s="14" t="str">
        <f t="shared" si="24"/>
        <v/>
      </c>
      <c r="E291" s="14" t="str">
        <f t="shared" si="25"/>
        <v/>
      </c>
      <c r="F291" s="14" t="str">
        <f t="shared" si="26"/>
        <v/>
      </c>
    </row>
    <row r="292" spans="1:6">
      <c r="A292" s="7" t="str">
        <f t="shared" si="27"/>
        <v/>
      </c>
      <c r="B292" s="238" t="str">
        <f t="shared" si="28"/>
        <v>0,00</v>
      </c>
      <c r="C292" s="238" t="str">
        <f t="shared" si="29"/>
        <v>0,00</v>
      </c>
      <c r="D292" s="14" t="str">
        <f t="shared" si="24"/>
        <v/>
      </c>
      <c r="E292" s="14" t="str">
        <f t="shared" si="25"/>
        <v/>
      </c>
      <c r="F292" s="14" t="str">
        <f t="shared" si="26"/>
        <v/>
      </c>
    </row>
    <row r="293" spans="1:6">
      <c r="A293" s="7" t="str">
        <f t="shared" si="27"/>
        <v/>
      </c>
      <c r="B293" s="238" t="str">
        <f t="shared" si="28"/>
        <v>0,00</v>
      </c>
      <c r="C293" s="238" t="str">
        <f t="shared" si="29"/>
        <v>0,00</v>
      </c>
      <c r="D293" s="14" t="str">
        <f t="shared" si="24"/>
        <v/>
      </c>
      <c r="E293" s="14" t="str">
        <f t="shared" si="25"/>
        <v/>
      </c>
      <c r="F293" s="14" t="str">
        <f t="shared" si="26"/>
        <v/>
      </c>
    </row>
    <row r="294" spans="1:6">
      <c r="A294" s="7" t="str">
        <f t="shared" si="27"/>
        <v/>
      </c>
      <c r="B294" s="238" t="str">
        <f t="shared" si="28"/>
        <v>0,00</v>
      </c>
      <c r="C294" s="238" t="str">
        <f t="shared" si="29"/>
        <v>0,00</v>
      </c>
      <c r="D294" s="14" t="str">
        <f t="shared" si="24"/>
        <v/>
      </c>
      <c r="E294" s="14" t="str">
        <f t="shared" si="25"/>
        <v/>
      </c>
      <c r="F294" s="14" t="str">
        <f t="shared" si="26"/>
        <v/>
      </c>
    </row>
    <row r="295" spans="1:6">
      <c r="A295" s="7" t="str">
        <f t="shared" si="27"/>
        <v/>
      </c>
      <c r="B295" s="238" t="str">
        <f t="shared" si="28"/>
        <v>0,00</v>
      </c>
      <c r="C295" s="238" t="str">
        <f t="shared" si="29"/>
        <v>0,00</v>
      </c>
      <c r="D295" s="14" t="str">
        <f t="shared" si="24"/>
        <v/>
      </c>
      <c r="E295" s="14" t="str">
        <f t="shared" si="25"/>
        <v/>
      </c>
      <c r="F295" s="14" t="str">
        <f t="shared" si="26"/>
        <v/>
      </c>
    </row>
    <row r="296" spans="1:6">
      <c r="A296" s="7" t="str">
        <f t="shared" si="27"/>
        <v/>
      </c>
      <c r="B296" s="238" t="str">
        <f t="shared" si="28"/>
        <v>0,00</v>
      </c>
      <c r="C296" s="238" t="str">
        <f t="shared" si="29"/>
        <v>0,00</v>
      </c>
      <c r="D296" s="14" t="str">
        <f t="shared" si="24"/>
        <v/>
      </c>
      <c r="E296" s="14" t="str">
        <f t="shared" si="25"/>
        <v/>
      </c>
      <c r="F296" s="14" t="str">
        <f t="shared" si="26"/>
        <v/>
      </c>
    </row>
    <row r="297" spans="1:6">
      <c r="A297" s="7" t="str">
        <f t="shared" si="27"/>
        <v/>
      </c>
      <c r="B297" s="238" t="str">
        <f t="shared" si="28"/>
        <v>0,00</v>
      </c>
      <c r="C297" s="238" t="str">
        <f t="shared" si="29"/>
        <v>0,00</v>
      </c>
      <c r="D297" s="14" t="str">
        <f t="shared" si="24"/>
        <v/>
      </c>
      <c r="E297" s="14" t="str">
        <f t="shared" si="25"/>
        <v/>
      </c>
      <c r="F297" s="14" t="str">
        <f t="shared" si="26"/>
        <v/>
      </c>
    </row>
    <row r="298" spans="1:6">
      <c r="A298" s="7" t="str">
        <f t="shared" si="27"/>
        <v/>
      </c>
      <c r="B298" s="238" t="str">
        <f t="shared" si="28"/>
        <v>0,00</v>
      </c>
      <c r="C298" s="238" t="str">
        <f t="shared" si="29"/>
        <v>0,00</v>
      </c>
      <c r="D298" s="14" t="str">
        <f t="shared" si="24"/>
        <v/>
      </c>
      <c r="E298" s="14" t="str">
        <f t="shared" si="25"/>
        <v/>
      </c>
      <c r="F298" s="14" t="str">
        <f t="shared" si="26"/>
        <v/>
      </c>
    </row>
    <row r="299" spans="1:6">
      <c r="A299" s="7" t="str">
        <f t="shared" si="27"/>
        <v/>
      </c>
      <c r="B299" s="238" t="str">
        <f t="shared" si="28"/>
        <v>0,00</v>
      </c>
      <c r="C299" s="238" t="str">
        <f t="shared" si="29"/>
        <v>0,00</v>
      </c>
      <c r="D299" s="14" t="str">
        <f t="shared" si="24"/>
        <v/>
      </c>
      <c r="E299" s="14" t="str">
        <f t="shared" si="25"/>
        <v/>
      </c>
      <c r="F299" s="14" t="str">
        <f t="shared" si="26"/>
        <v/>
      </c>
    </row>
    <row r="300" spans="1:6">
      <c r="A300" s="7" t="str">
        <f t="shared" si="27"/>
        <v/>
      </c>
      <c r="B300" s="238" t="str">
        <f t="shared" si="28"/>
        <v>0,00</v>
      </c>
      <c r="C300" s="238" t="str">
        <f t="shared" si="29"/>
        <v>0,00</v>
      </c>
      <c r="D300" s="14" t="str">
        <f t="shared" si="24"/>
        <v/>
      </c>
      <c r="E300" s="14" t="str">
        <f t="shared" si="25"/>
        <v/>
      </c>
      <c r="F300" s="14" t="str">
        <f t="shared" si="26"/>
        <v/>
      </c>
    </row>
    <row r="301" spans="1:6">
      <c r="A301" s="7" t="str">
        <f t="shared" si="27"/>
        <v/>
      </c>
      <c r="B301" s="238" t="str">
        <f t="shared" si="28"/>
        <v>0,00</v>
      </c>
      <c r="C301" s="238" t="str">
        <f t="shared" si="29"/>
        <v>0,00</v>
      </c>
      <c r="D301" s="14" t="str">
        <f t="shared" si="24"/>
        <v/>
      </c>
      <c r="E301" s="14" t="str">
        <f t="shared" si="25"/>
        <v/>
      </c>
      <c r="F301" s="14" t="str">
        <f t="shared" si="26"/>
        <v/>
      </c>
    </row>
    <row r="302" spans="1:6">
      <c r="A302" s="7" t="str">
        <f t="shared" si="27"/>
        <v/>
      </c>
      <c r="B302" s="238" t="str">
        <f t="shared" si="28"/>
        <v>0,00</v>
      </c>
      <c r="C302" s="238" t="str">
        <f t="shared" si="29"/>
        <v>0,00</v>
      </c>
      <c r="D302" s="14" t="str">
        <f t="shared" si="24"/>
        <v/>
      </c>
      <c r="E302" s="14" t="str">
        <f t="shared" si="25"/>
        <v/>
      </c>
      <c r="F302" s="14" t="str">
        <f t="shared" si="26"/>
        <v/>
      </c>
    </row>
    <row r="303" spans="1:6">
      <c r="A303" s="7" t="str">
        <f t="shared" si="27"/>
        <v/>
      </c>
      <c r="B303" s="238" t="str">
        <f t="shared" si="28"/>
        <v>0,00</v>
      </c>
      <c r="C303" s="238" t="str">
        <f t="shared" si="29"/>
        <v>0,00</v>
      </c>
      <c r="D303" s="14" t="str">
        <f t="shared" si="24"/>
        <v/>
      </c>
      <c r="E303" s="14" t="str">
        <f t="shared" si="25"/>
        <v/>
      </c>
      <c r="F303" s="14" t="str">
        <f t="shared" si="26"/>
        <v/>
      </c>
    </row>
    <row r="304" spans="1:6">
      <c r="A304" s="7" t="str">
        <f t="shared" si="27"/>
        <v/>
      </c>
      <c r="B304" s="238" t="str">
        <f t="shared" si="28"/>
        <v>0,00</v>
      </c>
      <c r="C304" s="238" t="str">
        <f t="shared" si="29"/>
        <v>0,00</v>
      </c>
      <c r="D304" s="14" t="str">
        <f t="shared" si="24"/>
        <v/>
      </c>
      <c r="E304" s="14" t="str">
        <f t="shared" si="25"/>
        <v/>
      </c>
      <c r="F304" s="14" t="str">
        <f t="shared" si="26"/>
        <v/>
      </c>
    </row>
    <row r="305" spans="1:6">
      <c r="A305" s="7" t="str">
        <f t="shared" si="27"/>
        <v/>
      </c>
      <c r="B305" s="238" t="str">
        <f t="shared" si="28"/>
        <v>0,00</v>
      </c>
      <c r="C305" s="238" t="str">
        <f t="shared" si="29"/>
        <v>0,00</v>
      </c>
      <c r="D305" s="14" t="str">
        <f t="shared" si="24"/>
        <v/>
      </c>
      <c r="E305" s="14" t="str">
        <f t="shared" si="25"/>
        <v/>
      </c>
      <c r="F305" s="14" t="str">
        <f t="shared" si="26"/>
        <v/>
      </c>
    </row>
    <row r="306" spans="1:6">
      <c r="A306" s="7" t="str">
        <f t="shared" si="27"/>
        <v/>
      </c>
      <c r="B306" s="238" t="str">
        <f t="shared" si="28"/>
        <v>0,00</v>
      </c>
      <c r="C306" s="238" t="str">
        <f t="shared" si="29"/>
        <v>0,00</v>
      </c>
      <c r="D306" s="14" t="str">
        <f t="shared" si="24"/>
        <v/>
      </c>
      <c r="E306" s="14" t="str">
        <f t="shared" si="25"/>
        <v/>
      </c>
      <c r="F306" s="14" t="str">
        <f t="shared" si="26"/>
        <v/>
      </c>
    </row>
    <row r="307" spans="1:6">
      <c r="A307" s="7" t="str">
        <f t="shared" si="27"/>
        <v/>
      </c>
      <c r="B307" s="238" t="str">
        <f t="shared" si="28"/>
        <v>0,00</v>
      </c>
      <c r="C307" s="238" t="str">
        <f t="shared" si="29"/>
        <v>0,00</v>
      </c>
      <c r="D307" s="14" t="str">
        <f t="shared" si="24"/>
        <v/>
      </c>
      <c r="E307" s="14" t="str">
        <f t="shared" si="25"/>
        <v/>
      </c>
      <c r="F307" s="14" t="str">
        <f t="shared" si="26"/>
        <v/>
      </c>
    </row>
    <row r="308" spans="1:6">
      <c r="A308" s="7" t="str">
        <f t="shared" si="27"/>
        <v/>
      </c>
      <c r="B308" s="238" t="str">
        <f t="shared" si="28"/>
        <v>0,00</v>
      </c>
      <c r="C308" s="238" t="str">
        <f t="shared" si="29"/>
        <v>0,00</v>
      </c>
      <c r="D308" s="14" t="str">
        <f t="shared" si="24"/>
        <v/>
      </c>
      <c r="E308" s="14" t="str">
        <f t="shared" si="25"/>
        <v/>
      </c>
      <c r="F308" s="14" t="str">
        <f t="shared" si="26"/>
        <v/>
      </c>
    </row>
    <row r="309" spans="1:6">
      <c r="A309" s="7" t="str">
        <f t="shared" si="27"/>
        <v/>
      </c>
      <c r="B309" s="238" t="str">
        <f t="shared" si="28"/>
        <v>0,00</v>
      </c>
      <c r="C309" s="238" t="str">
        <f t="shared" si="29"/>
        <v>0,00</v>
      </c>
      <c r="D309" s="14" t="str">
        <f t="shared" si="24"/>
        <v/>
      </c>
      <c r="E309" s="14" t="str">
        <f t="shared" si="25"/>
        <v/>
      </c>
      <c r="F309" s="14" t="str">
        <f t="shared" si="26"/>
        <v/>
      </c>
    </row>
    <row r="310" spans="1:6">
      <c r="A310" s="7" t="str">
        <f t="shared" si="27"/>
        <v/>
      </c>
      <c r="B310" s="238" t="str">
        <f t="shared" si="28"/>
        <v>0,00</v>
      </c>
      <c r="C310" s="238" t="str">
        <f t="shared" si="29"/>
        <v>0,00</v>
      </c>
      <c r="D310" s="14" t="str">
        <f t="shared" si="24"/>
        <v/>
      </c>
      <c r="E310" s="14" t="str">
        <f t="shared" si="25"/>
        <v/>
      </c>
      <c r="F310" s="14" t="str">
        <f t="shared" si="26"/>
        <v/>
      </c>
    </row>
    <row r="311" spans="1:6">
      <c r="A311" s="7" t="str">
        <f t="shared" si="27"/>
        <v/>
      </c>
      <c r="B311" s="238" t="str">
        <f t="shared" si="28"/>
        <v>0,00</v>
      </c>
      <c r="C311" s="238" t="str">
        <f t="shared" si="29"/>
        <v>0,00</v>
      </c>
      <c r="D311" s="14" t="str">
        <f t="shared" si="24"/>
        <v/>
      </c>
      <c r="E311" s="14" t="str">
        <f t="shared" si="25"/>
        <v/>
      </c>
      <c r="F311" s="14" t="str">
        <f t="shared" si="26"/>
        <v/>
      </c>
    </row>
    <row r="312" spans="1:6">
      <c r="A312" s="7" t="str">
        <f t="shared" si="27"/>
        <v/>
      </c>
      <c r="B312" s="238" t="str">
        <f t="shared" si="28"/>
        <v>0,00</v>
      </c>
      <c r="C312" s="238" t="str">
        <f t="shared" si="29"/>
        <v>0,00</v>
      </c>
      <c r="D312" s="14" t="str">
        <f t="shared" si="24"/>
        <v/>
      </c>
      <c r="E312" s="14" t="str">
        <f t="shared" si="25"/>
        <v/>
      </c>
      <c r="F312" s="14" t="str">
        <f t="shared" si="26"/>
        <v/>
      </c>
    </row>
    <row r="313" spans="1:6">
      <c r="A313" s="7" t="str">
        <f t="shared" si="27"/>
        <v/>
      </c>
      <c r="B313" s="238" t="str">
        <f t="shared" si="28"/>
        <v>0,00</v>
      </c>
      <c r="C313" s="238" t="str">
        <f t="shared" si="29"/>
        <v>0,00</v>
      </c>
      <c r="D313" s="14" t="str">
        <f t="shared" si="24"/>
        <v/>
      </c>
      <c r="E313" s="14" t="str">
        <f t="shared" si="25"/>
        <v/>
      </c>
      <c r="F313" s="14" t="str">
        <f t="shared" si="26"/>
        <v/>
      </c>
    </row>
    <row r="314" spans="1:6">
      <c r="A314" s="7" t="str">
        <f t="shared" si="27"/>
        <v/>
      </c>
      <c r="B314" s="238" t="str">
        <f t="shared" si="28"/>
        <v>0,00</v>
      </c>
      <c r="C314" s="238" t="str">
        <f t="shared" si="29"/>
        <v>0,00</v>
      </c>
      <c r="D314" s="14" t="str">
        <f t="shared" si="24"/>
        <v/>
      </c>
      <c r="E314" s="14" t="str">
        <f t="shared" si="25"/>
        <v/>
      </c>
      <c r="F314" s="14" t="str">
        <f t="shared" si="26"/>
        <v/>
      </c>
    </row>
    <row r="315" spans="1:6">
      <c r="A315" s="7" t="str">
        <f t="shared" si="27"/>
        <v/>
      </c>
      <c r="B315" s="238" t="str">
        <f t="shared" si="28"/>
        <v>0,00</v>
      </c>
      <c r="C315" s="238" t="str">
        <f t="shared" si="29"/>
        <v>0,00</v>
      </c>
      <c r="D315" s="14" t="str">
        <f t="shared" si="24"/>
        <v/>
      </c>
      <c r="E315" s="14" t="str">
        <f t="shared" si="25"/>
        <v/>
      </c>
      <c r="F315" s="14" t="str">
        <f t="shared" si="26"/>
        <v/>
      </c>
    </row>
    <row r="316" spans="1:6">
      <c r="A316" s="7" t="str">
        <f t="shared" si="27"/>
        <v/>
      </c>
      <c r="B316" s="238" t="str">
        <f t="shared" si="28"/>
        <v>0,00</v>
      </c>
      <c r="C316" s="238" t="str">
        <f t="shared" si="29"/>
        <v>0,00</v>
      </c>
      <c r="D316" s="14" t="str">
        <f t="shared" si="24"/>
        <v/>
      </c>
      <c r="E316" s="14" t="str">
        <f t="shared" si="25"/>
        <v/>
      </c>
      <c r="F316" s="14" t="str">
        <f t="shared" si="26"/>
        <v/>
      </c>
    </row>
    <row r="317" spans="1:6">
      <c r="A317" s="7" t="str">
        <f t="shared" si="27"/>
        <v/>
      </c>
      <c r="B317" s="238" t="str">
        <f t="shared" si="28"/>
        <v>0,00</v>
      </c>
      <c r="C317" s="238" t="str">
        <f t="shared" si="29"/>
        <v>0,00</v>
      </c>
      <c r="D317" s="14" t="str">
        <f t="shared" si="24"/>
        <v/>
      </c>
      <c r="E317" s="14" t="str">
        <f t="shared" si="25"/>
        <v/>
      </c>
      <c r="F317" s="14" t="str">
        <f t="shared" si="26"/>
        <v/>
      </c>
    </row>
    <row r="318" spans="1:6">
      <c r="A318" s="7" t="str">
        <f t="shared" si="27"/>
        <v/>
      </c>
      <c r="B318" s="238" t="str">
        <f t="shared" si="28"/>
        <v>0,00</v>
      </c>
      <c r="C318" s="238" t="str">
        <f t="shared" si="29"/>
        <v>0,00</v>
      </c>
      <c r="D318" s="14" t="str">
        <f t="shared" si="24"/>
        <v/>
      </c>
      <c r="E318" s="14" t="str">
        <f t="shared" si="25"/>
        <v/>
      </c>
      <c r="F318" s="14" t="str">
        <f t="shared" si="26"/>
        <v/>
      </c>
    </row>
    <row r="319" spans="1:6">
      <c r="A319" s="7" t="str">
        <f t="shared" si="27"/>
        <v/>
      </c>
      <c r="B319" s="238" t="str">
        <f t="shared" si="28"/>
        <v>0,00</v>
      </c>
      <c r="C319" s="238" t="str">
        <f t="shared" si="29"/>
        <v>0,00</v>
      </c>
      <c r="D319" s="14" t="str">
        <f t="shared" si="24"/>
        <v/>
      </c>
      <c r="E319" s="14" t="str">
        <f t="shared" si="25"/>
        <v/>
      </c>
      <c r="F319" s="14" t="str">
        <f t="shared" si="26"/>
        <v/>
      </c>
    </row>
    <row r="320" spans="1:6">
      <c r="A320" s="7" t="str">
        <f t="shared" si="27"/>
        <v/>
      </c>
      <c r="B320" s="238" t="str">
        <f t="shared" si="28"/>
        <v>0,00</v>
      </c>
      <c r="C320" s="238" t="str">
        <f t="shared" si="29"/>
        <v>0,00</v>
      </c>
      <c r="D320" s="14" t="str">
        <f t="shared" si="24"/>
        <v/>
      </c>
      <c r="E320" s="14" t="str">
        <f t="shared" si="25"/>
        <v/>
      </c>
      <c r="F320" s="14" t="str">
        <f t="shared" si="26"/>
        <v/>
      </c>
    </row>
    <row r="321" spans="1:6">
      <c r="A321" s="7" t="str">
        <f t="shared" si="27"/>
        <v/>
      </c>
      <c r="B321" s="238" t="str">
        <f t="shared" si="28"/>
        <v>0,00</v>
      </c>
      <c r="C321" s="238" t="str">
        <f t="shared" si="29"/>
        <v>0,00</v>
      </c>
      <c r="D321" s="14" t="str">
        <f t="shared" si="24"/>
        <v/>
      </c>
      <c r="E321" s="14" t="str">
        <f t="shared" si="25"/>
        <v/>
      </c>
      <c r="F321" s="14" t="str">
        <f t="shared" si="26"/>
        <v/>
      </c>
    </row>
    <row r="322" spans="1:6">
      <c r="A322" s="7" t="str">
        <f t="shared" si="27"/>
        <v/>
      </c>
      <c r="B322" s="238" t="str">
        <f t="shared" si="28"/>
        <v>0,00</v>
      </c>
      <c r="C322" s="238" t="str">
        <f t="shared" si="29"/>
        <v>0,00</v>
      </c>
      <c r="D322" s="14" t="str">
        <f t="shared" si="24"/>
        <v/>
      </c>
      <c r="E322" s="14" t="str">
        <f t="shared" si="25"/>
        <v/>
      </c>
      <c r="F322" s="14" t="str">
        <f t="shared" si="26"/>
        <v/>
      </c>
    </row>
    <row r="323" spans="1:6">
      <c r="A323" s="7" t="str">
        <f t="shared" si="27"/>
        <v/>
      </c>
      <c r="B323" s="238" t="str">
        <f t="shared" si="28"/>
        <v>0,00</v>
      </c>
      <c r="C323" s="238" t="str">
        <f t="shared" si="29"/>
        <v>0,00</v>
      </c>
      <c r="D323" s="14" t="str">
        <f t="shared" si="24"/>
        <v/>
      </c>
      <c r="E323" s="14" t="str">
        <f t="shared" si="25"/>
        <v/>
      </c>
      <c r="F323" s="14" t="str">
        <f t="shared" si="26"/>
        <v/>
      </c>
    </row>
    <row r="324" spans="1:6">
      <c r="A324" s="7" t="str">
        <f t="shared" si="27"/>
        <v/>
      </c>
      <c r="B324" s="238" t="str">
        <f t="shared" si="28"/>
        <v>0,00</v>
      </c>
      <c r="C324" s="238" t="str">
        <f t="shared" si="29"/>
        <v>0,00</v>
      </c>
      <c r="D324" s="14" t="str">
        <f t="shared" si="24"/>
        <v/>
      </c>
      <c r="E324" s="14" t="str">
        <f t="shared" si="25"/>
        <v/>
      </c>
      <c r="F324" s="14" t="str">
        <f t="shared" si="26"/>
        <v/>
      </c>
    </row>
    <row r="325" spans="1:6">
      <c r="A325" s="7" t="str">
        <f t="shared" si="27"/>
        <v/>
      </c>
      <c r="B325" s="238" t="str">
        <f t="shared" si="28"/>
        <v>0,00</v>
      </c>
      <c r="C325" s="238" t="str">
        <f t="shared" si="29"/>
        <v>0,00</v>
      </c>
      <c r="D325" s="14" t="str">
        <f t="shared" si="24"/>
        <v/>
      </c>
      <c r="E325" s="14" t="str">
        <f t="shared" si="25"/>
        <v/>
      </c>
      <c r="F325" s="14" t="str">
        <f t="shared" si="26"/>
        <v/>
      </c>
    </row>
    <row r="326" spans="1:6">
      <c r="A326" s="7" t="str">
        <f t="shared" si="27"/>
        <v/>
      </c>
      <c r="B326" s="238" t="str">
        <f t="shared" si="28"/>
        <v>0,00</v>
      </c>
      <c r="C326" s="238" t="str">
        <f t="shared" si="29"/>
        <v>0,00</v>
      </c>
      <c r="D326" s="14" t="str">
        <f t="shared" si="24"/>
        <v/>
      </c>
      <c r="E326" s="14" t="str">
        <f t="shared" si="25"/>
        <v/>
      </c>
      <c r="F326" s="14" t="str">
        <f t="shared" si="26"/>
        <v/>
      </c>
    </row>
    <row r="327" spans="1:6">
      <c r="A327" s="7" t="str">
        <f t="shared" si="27"/>
        <v/>
      </c>
      <c r="B327" s="238" t="str">
        <f t="shared" si="28"/>
        <v>0,00</v>
      </c>
      <c r="C327" s="238" t="str">
        <f t="shared" si="29"/>
        <v>0,00</v>
      </c>
      <c r="D327" s="14" t="str">
        <f t="shared" si="24"/>
        <v/>
      </c>
      <c r="E327" s="14" t="str">
        <f t="shared" si="25"/>
        <v/>
      </c>
      <c r="F327" s="14" t="str">
        <f t="shared" si="26"/>
        <v/>
      </c>
    </row>
    <row r="328" spans="1:6">
      <c r="A328" s="7" t="str">
        <f t="shared" si="27"/>
        <v/>
      </c>
      <c r="B328" s="238" t="str">
        <f t="shared" si="28"/>
        <v>0,00</v>
      </c>
      <c r="C328" s="238" t="str">
        <f t="shared" si="29"/>
        <v>0,00</v>
      </c>
      <c r="D328" s="14" t="str">
        <f t="shared" si="24"/>
        <v/>
      </c>
      <c r="E328" s="14" t="str">
        <f t="shared" si="25"/>
        <v/>
      </c>
      <c r="F328" s="14" t="str">
        <f t="shared" si="26"/>
        <v/>
      </c>
    </row>
    <row r="329" spans="1:6">
      <c r="A329" s="7" t="str">
        <f t="shared" si="27"/>
        <v/>
      </c>
      <c r="B329" s="238" t="str">
        <f t="shared" si="28"/>
        <v>0,00</v>
      </c>
      <c r="C329" s="238" t="str">
        <f t="shared" si="29"/>
        <v>0,00</v>
      </c>
      <c r="D329" s="14" t="str">
        <f t="shared" si="24"/>
        <v/>
      </c>
      <c r="E329" s="14" t="str">
        <f t="shared" si="25"/>
        <v/>
      </c>
      <c r="F329" s="14" t="str">
        <f t="shared" si="26"/>
        <v/>
      </c>
    </row>
    <row r="330" spans="1:6">
      <c r="A330" s="7" t="str">
        <f t="shared" si="27"/>
        <v/>
      </c>
      <c r="B330" s="238" t="str">
        <f t="shared" si="28"/>
        <v>0,00</v>
      </c>
      <c r="C330" s="238" t="str">
        <f t="shared" si="29"/>
        <v>0,00</v>
      </c>
      <c r="D330" s="14" t="str">
        <f t="shared" si="24"/>
        <v/>
      </c>
      <c r="E330" s="14" t="str">
        <f t="shared" si="25"/>
        <v/>
      </c>
      <c r="F330" s="14" t="str">
        <f t="shared" si="26"/>
        <v/>
      </c>
    </row>
    <row r="331" spans="1:6">
      <c r="A331" s="7" t="str">
        <f t="shared" si="27"/>
        <v/>
      </c>
      <c r="B331" s="238" t="str">
        <f t="shared" si="28"/>
        <v>0,00</v>
      </c>
      <c r="C331" s="238" t="str">
        <f t="shared" si="29"/>
        <v>0,00</v>
      </c>
      <c r="D331" s="14" t="str">
        <f t="shared" si="24"/>
        <v/>
      </c>
      <c r="E331" s="14" t="str">
        <f t="shared" si="25"/>
        <v/>
      </c>
      <c r="F331" s="14" t="str">
        <f t="shared" si="26"/>
        <v/>
      </c>
    </row>
    <row r="332" spans="1:6">
      <c r="A332" s="7" t="str">
        <f t="shared" si="27"/>
        <v/>
      </c>
      <c r="B332" s="238" t="str">
        <f t="shared" si="28"/>
        <v>0,00</v>
      </c>
      <c r="C332" s="238" t="str">
        <f t="shared" si="29"/>
        <v>0,00</v>
      </c>
      <c r="D332" s="14" t="str">
        <f t="shared" si="24"/>
        <v/>
      </c>
      <c r="E332" s="14" t="str">
        <f t="shared" si="25"/>
        <v/>
      </c>
      <c r="F332" s="14" t="str">
        <f t="shared" si="26"/>
        <v/>
      </c>
    </row>
    <row r="333" spans="1:6">
      <c r="A333" s="7" t="str">
        <f t="shared" si="27"/>
        <v/>
      </c>
      <c r="B333" s="238" t="str">
        <f t="shared" si="28"/>
        <v>0,00</v>
      </c>
      <c r="C333" s="238" t="str">
        <f t="shared" si="29"/>
        <v>0,00</v>
      </c>
      <c r="D333" s="14" t="str">
        <f t="shared" si="24"/>
        <v/>
      </c>
      <c r="E333" s="14" t="str">
        <f t="shared" si="25"/>
        <v/>
      </c>
      <c r="F333" s="14" t="str">
        <f t="shared" si="26"/>
        <v/>
      </c>
    </row>
    <row r="334" spans="1:6">
      <c r="A334" s="7" t="str">
        <f t="shared" si="27"/>
        <v/>
      </c>
      <c r="B334" s="238" t="str">
        <f t="shared" si="28"/>
        <v>0,00</v>
      </c>
      <c r="C334" s="238" t="str">
        <f t="shared" si="29"/>
        <v>0,00</v>
      </c>
      <c r="D334" s="14" t="str">
        <f t="shared" si="24"/>
        <v/>
      </c>
      <c r="E334" s="14" t="str">
        <f t="shared" si="25"/>
        <v/>
      </c>
      <c r="F334" s="14" t="str">
        <f t="shared" si="26"/>
        <v/>
      </c>
    </row>
    <row r="335" spans="1:6">
      <c r="A335" s="7" t="str">
        <f t="shared" si="27"/>
        <v/>
      </c>
      <c r="B335" s="238" t="str">
        <f t="shared" si="28"/>
        <v>0,00</v>
      </c>
      <c r="C335" s="238" t="str">
        <f t="shared" si="29"/>
        <v>0,00</v>
      </c>
      <c r="D335" s="14" t="str">
        <f t="shared" si="24"/>
        <v/>
      </c>
      <c r="E335" s="14" t="str">
        <f t="shared" si="25"/>
        <v/>
      </c>
      <c r="F335" s="14" t="str">
        <f t="shared" si="26"/>
        <v/>
      </c>
    </row>
    <row r="336" spans="1:6">
      <c r="A336" s="7" t="str">
        <f t="shared" si="27"/>
        <v/>
      </c>
      <c r="B336" s="238" t="str">
        <f t="shared" si="28"/>
        <v>0,00</v>
      </c>
      <c r="C336" s="238" t="str">
        <f t="shared" si="29"/>
        <v>0,00</v>
      </c>
      <c r="D336" s="14" t="str">
        <f t="shared" si="24"/>
        <v/>
      </c>
      <c r="E336" s="14" t="str">
        <f t="shared" si="25"/>
        <v/>
      </c>
      <c r="F336" s="14" t="str">
        <f t="shared" si="26"/>
        <v/>
      </c>
    </row>
    <row r="337" spans="1:6">
      <c r="A337" s="7" t="str">
        <f t="shared" si="27"/>
        <v/>
      </c>
      <c r="B337" s="238" t="str">
        <f t="shared" si="28"/>
        <v>0,00</v>
      </c>
      <c r="C337" s="238" t="str">
        <f t="shared" si="29"/>
        <v>0,00</v>
      </c>
      <c r="D337" s="14" t="str">
        <f t="shared" si="24"/>
        <v/>
      </c>
      <c r="E337" s="14" t="str">
        <f t="shared" si="25"/>
        <v/>
      </c>
      <c r="F337" s="14" t="str">
        <f t="shared" si="26"/>
        <v/>
      </c>
    </row>
    <row r="338" spans="1:6">
      <c r="A338" s="7" t="str">
        <f t="shared" si="27"/>
        <v/>
      </c>
      <c r="B338" s="238" t="str">
        <f t="shared" si="28"/>
        <v>0,00</v>
      </c>
      <c r="C338" s="238" t="str">
        <f t="shared" si="29"/>
        <v>0,00</v>
      </c>
      <c r="D338" s="14" t="str">
        <f t="shared" si="24"/>
        <v/>
      </c>
      <c r="E338" s="14" t="str">
        <f t="shared" si="25"/>
        <v/>
      </c>
      <c r="F338" s="14" t="str">
        <f t="shared" si="26"/>
        <v/>
      </c>
    </row>
    <row r="339" spans="1:6">
      <c r="A339" s="7" t="str">
        <f t="shared" si="27"/>
        <v/>
      </c>
      <c r="B339" s="238" t="str">
        <f t="shared" si="28"/>
        <v>0,00</v>
      </c>
      <c r="C339" s="238" t="str">
        <f t="shared" si="29"/>
        <v>0,00</v>
      </c>
      <c r="D339" s="14" t="str">
        <f t="shared" si="24"/>
        <v/>
      </c>
      <c r="E339" s="14" t="str">
        <f t="shared" si="25"/>
        <v/>
      </c>
      <c r="F339" s="14" t="str">
        <f t="shared" si="26"/>
        <v/>
      </c>
    </row>
    <row r="340" spans="1:6">
      <c r="A340" s="7" t="str">
        <f t="shared" si="27"/>
        <v/>
      </c>
      <c r="B340" s="238" t="str">
        <f t="shared" si="28"/>
        <v>0,00</v>
      </c>
      <c r="C340" s="238" t="str">
        <f t="shared" si="29"/>
        <v>0,00</v>
      </c>
      <c r="D340" s="14" t="str">
        <f t="shared" ref="D340:D379" si="30">IF(A340&lt;=$E$9,$E$13-C340,"")</f>
        <v/>
      </c>
      <c r="E340" s="14" t="str">
        <f t="shared" ref="E340:E379" si="31">IF(A340&lt;=$E$9,E339+D340,"")</f>
        <v/>
      </c>
      <c r="F340" s="14" t="str">
        <f t="shared" ref="F340:F379" si="32">IF(A340&lt;=$E$9,ROUND(($F$19-E340),2),"")</f>
        <v/>
      </c>
    </row>
    <row r="341" spans="1:6">
      <c r="A341" s="7" t="str">
        <f t="shared" ref="A341:A379" si="33">IF(A340&lt;$E$9,A340+1,"")</f>
        <v/>
      </c>
      <c r="B341" s="238" t="str">
        <f t="shared" ref="B341:B379" si="34">IF(A341&lt;=$E$9,C341+D341,"0,00")</f>
        <v>0,00</v>
      </c>
      <c r="C341" s="238" t="str">
        <f t="shared" ref="C341:C379" si="35">IF(A341&lt;=$E$9,F340*($E$8/$E$10),"0,00")</f>
        <v>0,00</v>
      </c>
      <c r="D341" s="14" t="str">
        <f t="shared" si="30"/>
        <v/>
      </c>
      <c r="E341" s="14" t="str">
        <f t="shared" si="31"/>
        <v/>
      </c>
      <c r="F341" s="14" t="str">
        <f t="shared" si="32"/>
        <v/>
      </c>
    </row>
    <row r="342" spans="1:6">
      <c r="A342" s="7" t="str">
        <f t="shared" si="33"/>
        <v/>
      </c>
      <c r="B342" s="238" t="str">
        <f t="shared" si="34"/>
        <v>0,00</v>
      </c>
      <c r="C342" s="238" t="str">
        <f t="shared" si="35"/>
        <v>0,00</v>
      </c>
      <c r="D342" s="14" t="str">
        <f t="shared" si="30"/>
        <v/>
      </c>
      <c r="E342" s="14" t="str">
        <f t="shared" si="31"/>
        <v/>
      </c>
      <c r="F342" s="14" t="str">
        <f t="shared" si="32"/>
        <v/>
      </c>
    </row>
    <row r="343" spans="1:6">
      <c r="A343" s="7" t="str">
        <f t="shared" si="33"/>
        <v/>
      </c>
      <c r="B343" s="238" t="str">
        <f t="shared" si="34"/>
        <v>0,00</v>
      </c>
      <c r="C343" s="238" t="str">
        <f t="shared" si="35"/>
        <v>0,00</v>
      </c>
      <c r="D343" s="14" t="str">
        <f t="shared" si="30"/>
        <v/>
      </c>
      <c r="E343" s="14" t="str">
        <f t="shared" si="31"/>
        <v/>
      </c>
      <c r="F343" s="14" t="str">
        <f t="shared" si="32"/>
        <v/>
      </c>
    </row>
    <row r="344" spans="1:6">
      <c r="A344" s="7" t="str">
        <f t="shared" si="33"/>
        <v/>
      </c>
      <c r="B344" s="238" t="str">
        <f t="shared" si="34"/>
        <v>0,00</v>
      </c>
      <c r="C344" s="238" t="str">
        <f t="shared" si="35"/>
        <v>0,00</v>
      </c>
      <c r="D344" s="14" t="str">
        <f t="shared" si="30"/>
        <v/>
      </c>
      <c r="E344" s="14" t="str">
        <f t="shared" si="31"/>
        <v/>
      </c>
      <c r="F344" s="14" t="str">
        <f t="shared" si="32"/>
        <v/>
      </c>
    </row>
    <row r="345" spans="1:6">
      <c r="A345" s="7" t="str">
        <f t="shared" si="33"/>
        <v/>
      </c>
      <c r="B345" s="238" t="str">
        <f t="shared" si="34"/>
        <v>0,00</v>
      </c>
      <c r="C345" s="238" t="str">
        <f t="shared" si="35"/>
        <v>0,00</v>
      </c>
      <c r="D345" s="14" t="str">
        <f t="shared" si="30"/>
        <v/>
      </c>
      <c r="E345" s="14" t="str">
        <f t="shared" si="31"/>
        <v/>
      </c>
      <c r="F345" s="14" t="str">
        <f t="shared" si="32"/>
        <v/>
      </c>
    </row>
    <row r="346" spans="1:6">
      <c r="A346" s="7" t="str">
        <f t="shared" si="33"/>
        <v/>
      </c>
      <c r="B346" s="238" t="str">
        <f t="shared" si="34"/>
        <v>0,00</v>
      </c>
      <c r="C346" s="238" t="str">
        <f t="shared" si="35"/>
        <v>0,00</v>
      </c>
      <c r="D346" s="14" t="str">
        <f t="shared" si="30"/>
        <v/>
      </c>
      <c r="E346" s="14" t="str">
        <f t="shared" si="31"/>
        <v/>
      </c>
      <c r="F346" s="14" t="str">
        <f t="shared" si="32"/>
        <v/>
      </c>
    </row>
    <row r="347" spans="1:6">
      <c r="A347" s="7" t="str">
        <f t="shared" si="33"/>
        <v/>
      </c>
      <c r="B347" s="238" t="str">
        <f t="shared" si="34"/>
        <v>0,00</v>
      </c>
      <c r="C347" s="238" t="str">
        <f t="shared" si="35"/>
        <v>0,00</v>
      </c>
      <c r="D347" s="14" t="str">
        <f t="shared" si="30"/>
        <v/>
      </c>
      <c r="E347" s="14" t="str">
        <f t="shared" si="31"/>
        <v/>
      </c>
      <c r="F347" s="14" t="str">
        <f t="shared" si="32"/>
        <v/>
      </c>
    </row>
    <row r="348" spans="1:6">
      <c r="A348" s="7" t="str">
        <f t="shared" si="33"/>
        <v/>
      </c>
      <c r="B348" s="238" t="str">
        <f t="shared" si="34"/>
        <v>0,00</v>
      </c>
      <c r="C348" s="238" t="str">
        <f t="shared" si="35"/>
        <v>0,00</v>
      </c>
      <c r="D348" s="14" t="str">
        <f t="shared" si="30"/>
        <v/>
      </c>
      <c r="E348" s="14" t="str">
        <f t="shared" si="31"/>
        <v/>
      </c>
      <c r="F348" s="14" t="str">
        <f t="shared" si="32"/>
        <v/>
      </c>
    </row>
    <row r="349" spans="1:6">
      <c r="A349" s="7" t="str">
        <f t="shared" si="33"/>
        <v/>
      </c>
      <c r="B349" s="238" t="str">
        <f t="shared" si="34"/>
        <v>0,00</v>
      </c>
      <c r="C349" s="238" t="str">
        <f t="shared" si="35"/>
        <v>0,00</v>
      </c>
      <c r="D349" s="14" t="str">
        <f t="shared" si="30"/>
        <v/>
      </c>
      <c r="E349" s="14" t="str">
        <f t="shared" si="31"/>
        <v/>
      </c>
      <c r="F349" s="14" t="str">
        <f t="shared" si="32"/>
        <v/>
      </c>
    </row>
    <row r="350" spans="1:6">
      <c r="A350" s="7" t="str">
        <f t="shared" si="33"/>
        <v/>
      </c>
      <c r="B350" s="238" t="str">
        <f t="shared" si="34"/>
        <v>0,00</v>
      </c>
      <c r="C350" s="238" t="str">
        <f t="shared" si="35"/>
        <v>0,00</v>
      </c>
      <c r="D350" s="14" t="str">
        <f t="shared" si="30"/>
        <v/>
      </c>
      <c r="E350" s="14" t="str">
        <f t="shared" si="31"/>
        <v/>
      </c>
      <c r="F350" s="14" t="str">
        <f t="shared" si="32"/>
        <v/>
      </c>
    </row>
    <row r="351" spans="1:6">
      <c r="A351" s="7" t="str">
        <f t="shared" si="33"/>
        <v/>
      </c>
      <c r="B351" s="238" t="str">
        <f t="shared" si="34"/>
        <v>0,00</v>
      </c>
      <c r="C351" s="238" t="str">
        <f t="shared" si="35"/>
        <v>0,00</v>
      </c>
      <c r="D351" s="14" t="str">
        <f t="shared" si="30"/>
        <v/>
      </c>
      <c r="E351" s="14" t="str">
        <f t="shared" si="31"/>
        <v/>
      </c>
      <c r="F351" s="14" t="str">
        <f t="shared" si="32"/>
        <v/>
      </c>
    </row>
    <row r="352" spans="1:6">
      <c r="A352" s="7" t="str">
        <f t="shared" si="33"/>
        <v/>
      </c>
      <c r="B352" s="238" t="str">
        <f t="shared" si="34"/>
        <v>0,00</v>
      </c>
      <c r="C352" s="238" t="str">
        <f t="shared" si="35"/>
        <v>0,00</v>
      </c>
      <c r="D352" s="14" t="str">
        <f t="shared" si="30"/>
        <v/>
      </c>
      <c r="E352" s="14" t="str">
        <f t="shared" si="31"/>
        <v/>
      </c>
      <c r="F352" s="14" t="str">
        <f t="shared" si="32"/>
        <v/>
      </c>
    </row>
    <row r="353" spans="1:6">
      <c r="A353" s="7" t="str">
        <f t="shared" si="33"/>
        <v/>
      </c>
      <c r="B353" s="238" t="str">
        <f t="shared" si="34"/>
        <v>0,00</v>
      </c>
      <c r="C353" s="238" t="str">
        <f t="shared" si="35"/>
        <v>0,00</v>
      </c>
      <c r="D353" s="14" t="str">
        <f t="shared" si="30"/>
        <v/>
      </c>
      <c r="E353" s="14" t="str">
        <f t="shared" si="31"/>
        <v/>
      </c>
      <c r="F353" s="14" t="str">
        <f t="shared" si="32"/>
        <v/>
      </c>
    </row>
    <row r="354" spans="1:6">
      <c r="A354" s="7" t="str">
        <f t="shared" si="33"/>
        <v/>
      </c>
      <c r="B354" s="238" t="str">
        <f t="shared" si="34"/>
        <v>0,00</v>
      </c>
      <c r="C354" s="238" t="str">
        <f t="shared" si="35"/>
        <v>0,00</v>
      </c>
      <c r="D354" s="14" t="str">
        <f t="shared" si="30"/>
        <v/>
      </c>
      <c r="E354" s="14" t="str">
        <f t="shared" si="31"/>
        <v/>
      </c>
      <c r="F354" s="14" t="str">
        <f t="shared" si="32"/>
        <v/>
      </c>
    </row>
    <row r="355" spans="1:6">
      <c r="A355" s="7" t="str">
        <f t="shared" si="33"/>
        <v/>
      </c>
      <c r="B355" s="238" t="str">
        <f t="shared" si="34"/>
        <v>0,00</v>
      </c>
      <c r="C355" s="238" t="str">
        <f t="shared" si="35"/>
        <v>0,00</v>
      </c>
      <c r="D355" s="14" t="str">
        <f t="shared" si="30"/>
        <v/>
      </c>
      <c r="E355" s="14" t="str">
        <f t="shared" si="31"/>
        <v/>
      </c>
      <c r="F355" s="14" t="str">
        <f t="shared" si="32"/>
        <v/>
      </c>
    </row>
    <row r="356" spans="1:6">
      <c r="A356" s="7" t="str">
        <f t="shared" si="33"/>
        <v/>
      </c>
      <c r="B356" s="238" t="str">
        <f t="shared" si="34"/>
        <v>0,00</v>
      </c>
      <c r="C356" s="238" t="str">
        <f t="shared" si="35"/>
        <v>0,00</v>
      </c>
      <c r="D356" s="14" t="str">
        <f t="shared" si="30"/>
        <v/>
      </c>
      <c r="E356" s="14" t="str">
        <f t="shared" si="31"/>
        <v/>
      </c>
      <c r="F356" s="14" t="str">
        <f t="shared" si="32"/>
        <v/>
      </c>
    </row>
    <row r="357" spans="1:6">
      <c r="A357" s="7" t="str">
        <f t="shared" si="33"/>
        <v/>
      </c>
      <c r="B357" s="238" t="str">
        <f t="shared" si="34"/>
        <v>0,00</v>
      </c>
      <c r="C357" s="238" t="str">
        <f t="shared" si="35"/>
        <v>0,00</v>
      </c>
      <c r="D357" s="14" t="str">
        <f t="shared" si="30"/>
        <v/>
      </c>
      <c r="E357" s="14" t="str">
        <f t="shared" si="31"/>
        <v/>
      </c>
      <c r="F357" s="14" t="str">
        <f t="shared" si="32"/>
        <v/>
      </c>
    </row>
    <row r="358" spans="1:6">
      <c r="A358" s="7" t="str">
        <f t="shared" si="33"/>
        <v/>
      </c>
      <c r="B358" s="238" t="str">
        <f t="shared" si="34"/>
        <v>0,00</v>
      </c>
      <c r="C358" s="238" t="str">
        <f t="shared" si="35"/>
        <v>0,00</v>
      </c>
      <c r="D358" s="14" t="str">
        <f t="shared" si="30"/>
        <v/>
      </c>
      <c r="E358" s="14" t="str">
        <f t="shared" si="31"/>
        <v/>
      </c>
      <c r="F358" s="14" t="str">
        <f t="shared" si="32"/>
        <v/>
      </c>
    </row>
    <row r="359" spans="1:6">
      <c r="A359" s="7" t="str">
        <f t="shared" si="33"/>
        <v/>
      </c>
      <c r="B359" s="238" t="str">
        <f t="shared" si="34"/>
        <v>0,00</v>
      </c>
      <c r="C359" s="238" t="str">
        <f t="shared" si="35"/>
        <v>0,00</v>
      </c>
      <c r="D359" s="14" t="str">
        <f t="shared" si="30"/>
        <v/>
      </c>
      <c r="E359" s="14" t="str">
        <f t="shared" si="31"/>
        <v/>
      </c>
      <c r="F359" s="14" t="str">
        <f t="shared" si="32"/>
        <v/>
      </c>
    </row>
    <row r="360" spans="1:6">
      <c r="A360" s="7" t="str">
        <f t="shared" si="33"/>
        <v/>
      </c>
      <c r="B360" s="238" t="str">
        <f t="shared" si="34"/>
        <v>0,00</v>
      </c>
      <c r="C360" s="238" t="str">
        <f t="shared" si="35"/>
        <v>0,00</v>
      </c>
      <c r="D360" s="14" t="str">
        <f t="shared" si="30"/>
        <v/>
      </c>
      <c r="E360" s="14" t="str">
        <f t="shared" si="31"/>
        <v/>
      </c>
      <c r="F360" s="14" t="str">
        <f t="shared" si="32"/>
        <v/>
      </c>
    </row>
    <row r="361" spans="1:6">
      <c r="A361" s="7" t="str">
        <f t="shared" si="33"/>
        <v/>
      </c>
      <c r="B361" s="238" t="str">
        <f t="shared" si="34"/>
        <v>0,00</v>
      </c>
      <c r="C361" s="238" t="str">
        <f t="shared" si="35"/>
        <v>0,00</v>
      </c>
      <c r="D361" s="14" t="str">
        <f t="shared" si="30"/>
        <v/>
      </c>
      <c r="E361" s="14" t="str">
        <f t="shared" si="31"/>
        <v/>
      </c>
      <c r="F361" s="14" t="str">
        <f t="shared" si="32"/>
        <v/>
      </c>
    </row>
    <row r="362" spans="1:6">
      <c r="A362" s="7" t="str">
        <f t="shared" si="33"/>
        <v/>
      </c>
      <c r="B362" s="238" t="str">
        <f t="shared" si="34"/>
        <v>0,00</v>
      </c>
      <c r="C362" s="238" t="str">
        <f t="shared" si="35"/>
        <v>0,00</v>
      </c>
      <c r="D362" s="14" t="str">
        <f t="shared" si="30"/>
        <v/>
      </c>
      <c r="E362" s="14" t="str">
        <f t="shared" si="31"/>
        <v/>
      </c>
      <c r="F362" s="14" t="str">
        <f t="shared" si="32"/>
        <v/>
      </c>
    </row>
    <row r="363" spans="1:6">
      <c r="A363" s="7" t="str">
        <f t="shared" si="33"/>
        <v/>
      </c>
      <c r="B363" s="238" t="str">
        <f t="shared" si="34"/>
        <v>0,00</v>
      </c>
      <c r="C363" s="238" t="str">
        <f t="shared" si="35"/>
        <v>0,00</v>
      </c>
      <c r="D363" s="14" t="str">
        <f t="shared" si="30"/>
        <v/>
      </c>
      <c r="E363" s="14" t="str">
        <f t="shared" si="31"/>
        <v/>
      </c>
      <c r="F363" s="14" t="str">
        <f t="shared" si="32"/>
        <v/>
      </c>
    </row>
    <row r="364" spans="1:6">
      <c r="A364" s="7" t="str">
        <f t="shared" si="33"/>
        <v/>
      </c>
      <c r="B364" s="238" t="str">
        <f t="shared" si="34"/>
        <v>0,00</v>
      </c>
      <c r="C364" s="238" t="str">
        <f t="shared" si="35"/>
        <v>0,00</v>
      </c>
      <c r="D364" s="14" t="str">
        <f t="shared" si="30"/>
        <v/>
      </c>
      <c r="E364" s="14" t="str">
        <f t="shared" si="31"/>
        <v/>
      </c>
      <c r="F364" s="14" t="str">
        <f t="shared" si="32"/>
        <v/>
      </c>
    </row>
    <row r="365" spans="1:6">
      <c r="A365" s="7" t="str">
        <f t="shared" si="33"/>
        <v/>
      </c>
      <c r="B365" s="238" t="str">
        <f t="shared" si="34"/>
        <v>0,00</v>
      </c>
      <c r="C365" s="238" t="str">
        <f t="shared" si="35"/>
        <v>0,00</v>
      </c>
      <c r="D365" s="14" t="str">
        <f t="shared" si="30"/>
        <v/>
      </c>
      <c r="E365" s="14" t="str">
        <f t="shared" si="31"/>
        <v/>
      </c>
      <c r="F365" s="14" t="str">
        <f t="shared" si="32"/>
        <v/>
      </c>
    </row>
    <row r="366" spans="1:6">
      <c r="A366" s="7" t="str">
        <f t="shared" si="33"/>
        <v/>
      </c>
      <c r="B366" s="238" t="str">
        <f t="shared" si="34"/>
        <v>0,00</v>
      </c>
      <c r="C366" s="238" t="str">
        <f t="shared" si="35"/>
        <v>0,00</v>
      </c>
      <c r="D366" s="14" t="str">
        <f t="shared" si="30"/>
        <v/>
      </c>
      <c r="E366" s="14" t="str">
        <f t="shared" si="31"/>
        <v/>
      </c>
      <c r="F366" s="14" t="str">
        <f t="shared" si="32"/>
        <v/>
      </c>
    </row>
    <row r="367" spans="1:6">
      <c r="A367" s="7" t="str">
        <f t="shared" si="33"/>
        <v/>
      </c>
      <c r="B367" s="238" t="str">
        <f t="shared" si="34"/>
        <v>0,00</v>
      </c>
      <c r="C367" s="238" t="str">
        <f t="shared" si="35"/>
        <v>0,00</v>
      </c>
      <c r="D367" s="14" t="str">
        <f t="shared" si="30"/>
        <v/>
      </c>
      <c r="E367" s="14" t="str">
        <f t="shared" si="31"/>
        <v/>
      </c>
      <c r="F367" s="14" t="str">
        <f t="shared" si="32"/>
        <v/>
      </c>
    </row>
    <row r="368" spans="1:6">
      <c r="A368" s="7" t="str">
        <f t="shared" si="33"/>
        <v/>
      </c>
      <c r="B368" s="238" t="str">
        <f t="shared" si="34"/>
        <v>0,00</v>
      </c>
      <c r="C368" s="238" t="str">
        <f t="shared" si="35"/>
        <v>0,00</v>
      </c>
      <c r="D368" s="14" t="str">
        <f t="shared" si="30"/>
        <v/>
      </c>
      <c r="E368" s="14" t="str">
        <f t="shared" si="31"/>
        <v/>
      </c>
      <c r="F368" s="14" t="str">
        <f t="shared" si="32"/>
        <v/>
      </c>
    </row>
    <row r="369" spans="1:6">
      <c r="A369" s="7" t="str">
        <f t="shared" si="33"/>
        <v/>
      </c>
      <c r="B369" s="238" t="str">
        <f t="shared" si="34"/>
        <v>0,00</v>
      </c>
      <c r="C369" s="238" t="str">
        <f t="shared" si="35"/>
        <v>0,00</v>
      </c>
      <c r="D369" s="14" t="str">
        <f t="shared" si="30"/>
        <v/>
      </c>
      <c r="E369" s="14" t="str">
        <f t="shared" si="31"/>
        <v/>
      </c>
      <c r="F369" s="14" t="str">
        <f t="shared" si="32"/>
        <v/>
      </c>
    </row>
    <row r="370" spans="1:6">
      <c r="A370" s="7" t="str">
        <f t="shared" si="33"/>
        <v/>
      </c>
      <c r="B370" s="238" t="str">
        <f t="shared" si="34"/>
        <v>0,00</v>
      </c>
      <c r="C370" s="238" t="str">
        <f t="shared" si="35"/>
        <v>0,00</v>
      </c>
      <c r="D370" s="14" t="str">
        <f t="shared" si="30"/>
        <v/>
      </c>
      <c r="E370" s="14" t="str">
        <f t="shared" si="31"/>
        <v/>
      </c>
      <c r="F370" s="14" t="str">
        <f t="shared" si="32"/>
        <v/>
      </c>
    </row>
    <row r="371" spans="1:6">
      <c r="A371" s="7" t="str">
        <f t="shared" si="33"/>
        <v/>
      </c>
      <c r="B371" s="238" t="str">
        <f t="shared" si="34"/>
        <v>0,00</v>
      </c>
      <c r="C371" s="238" t="str">
        <f t="shared" si="35"/>
        <v>0,00</v>
      </c>
      <c r="D371" s="14" t="str">
        <f t="shared" si="30"/>
        <v/>
      </c>
      <c r="E371" s="14" t="str">
        <f t="shared" si="31"/>
        <v/>
      </c>
      <c r="F371" s="14" t="str">
        <f t="shared" si="32"/>
        <v/>
      </c>
    </row>
    <row r="372" spans="1:6">
      <c r="A372" s="7" t="str">
        <f t="shared" si="33"/>
        <v/>
      </c>
      <c r="B372" s="238" t="str">
        <f t="shared" si="34"/>
        <v>0,00</v>
      </c>
      <c r="C372" s="238" t="str">
        <f t="shared" si="35"/>
        <v>0,00</v>
      </c>
      <c r="D372" s="14" t="str">
        <f t="shared" si="30"/>
        <v/>
      </c>
      <c r="E372" s="14" t="str">
        <f t="shared" si="31"/>
        <v/>
      </c>
      <c r="F372" s="14" t="str">
        <f t="shared" si="32"/>
        <v/>
      </c>
    </row>
    <row r="373" spans="1:6">
      <c r="A373" s="7" t="str">
        <f t="shared" si="33"/>
        <v/>
      </c>
      <c r="B373" s="238" t="str">
        <f t="shared" si="34"/>
        <v>0,00</v>
      </c>
      <c r="C373" s="238" t="str">
        <f t="shared" si="35"/>
        <v>0,00</v>
      </c>
      <c r="D373" s="14" t="str">
        <f t="shared" si="30"/>
        <v/>
      </c>
      <c r="E373" s="14" t="str">
        <f t="shared" si="31"/>
        <v/>
      </c>
      <c r="F373" s="14" t="str">
        <f t="shared" si="32"/>
        <v/>
      </c>
    </row>
    <row r="374" spans="1:6">
      <c r="A374" s="7" t="str">
        <f t="shared" si="33"/>
        <v/>
      </c>
      <c r="B374" s="238" t="str">
        <f t="shared" si="34"/>
        <v>0,00</v>
      </c>
      <c r="C374" s="238" t="str">
        <f t="shared" si="35"/>
        <v>0,00</v>
      </c>
      <c r="D374" s="14" t="str">
        <f t="shared" si="30"/>
        <v/>
      </c>
      <c r="E374" s="14" t="str">
        <f t="shared" si="31"/>
        <v/>
      </c>
      <c r="F374" s="14" t="str">
        <f t="shared" si="32"/>
        <v/>
      </c>
    </row>
    <row r="375" spans="1:6">
      <c r="A375" s="7" t="str">
        <f t="shared" si="33"/>
        <v/>
      </c>
      <c r="B375" s="238" t="str">
        <f t="shared" si="34"/>
        <v>0,00</v>
      </c>
      <c r="C375" s="238" t="str">
        <f t="shared" si="35"/>
        <v>0,00</v>
      </c>
      <c r="D375" s="14" t="str">
        <f t="shared" si="30"/>
        <v/>
      </c>
      <c r="E375" s="14" t="str">
        <f t="shared" si="31"/>
        <v/>
      </c>
      <c r="F375" s="14" t="str">
        <f t="shared" si="32"/>
        <v/>
      </c>
    </row>
    <row r="376" spans="1:6">
      <c r="A376" s="7" t="str">
        <f t="shared" si="33"/>
        <v/>
      </c>
      <c r="B376" s="238" t="str">
        <f t="shared" si="34"/>
        <v>0,00</v>
      </c>
      <c r="C376" s="238" t="str">
        <f t="shared" si="35"/>
        <v>0,00</v>
      </c>
      <c r="D376" s="14" t="str">
        <f t="shared" si="30"/>
        <v/>
      </c>
      <c r="E376" s="14" t="str">
        <f t="shared" si="31"/>
        <v/>
      </c>
      <c r="F376" s="14" t="str">
        <f t="shared" si="32"/>
        <v/>
      </c>
    </row>
    <row r="377" spans="1:6">
      <c r="A377" s="7" t="str">
        <f t="shared" si="33"/>
        <v/>
      </c>
      <c r="B377" s="238" t="str">
        <f t="shared" si="34"/>
        <v>0,00</v>
      </c>
      <c r="C377" s="238" t="str">
        <f t="shared" si="35"/>
        <v>0,00</v>
      </c>
      <c r="D377" s="14" t="str">
        <f t="shared" si="30"/>
        <v/>
      </c>
      <c r="E377" s="14" t="str">
        <f t="shared" si="31"/>
        <v/>
      </c>
      <c r="F377" s="14" t="str">
        <f t="shared" si="32"/>
        <v/>
      </c>
    </row>
    <row r="378" spans="1:6">
      <c r="A378" s="7" t="str">
        <f t="shared" si="33"/>
        <v/>
      </c>
      <c r="B378" s="238" t="str">
        <f t="shared" si="34"/>
        <v>0,00</v>
      </c>
      <c r="C378" s="238" t="str">
        <f t="shared" si="35"/>
        <v>0,00</v>
      </c>
      <c r="D378" s="14" t="str">
        <f t="shared" si="30"/>
        <v/>
      </c>
      <c r="E378" s="14" t="str">
        <f t="shared" si="31"/>
        <v/>
      </c>
      <c r="F378" s="14" t="str">
        <f t="shared" si="32"/>
        <v/>
      </c>
    </row>
    <row r="379" spans="1:6">
      <c r="A379" s="7" t="str">
        <f t="shared" si="33"/>
        <v/>
      </c>
      <c r="B379" s="238" t="str">
        <f t="shared" si="34"/>
        <v>0,00</v>
      </c>
      <c r="C379" s="238" t="str">
        <f t="shared" si="35"/>
        <v>0,00</v>
      </c>
      <c r="D379" s="14" t="str">
        <f t="shared" si="30"/>
        <v/>
      </c>
      <c r="E379" s="14" t="str">
        <f t="shared" si="31"/>
        <v/>
      </c>
      <c r="F379" s="14" t="str">
        <f t="shared" si="32"/>
        <v/>
      </c>
    </row>
  </sheetData>
  <phoneticPr fontId="3" type="noConversion"/>
  <pageMargins left="0.78740157480314965" right="0.78740157480314965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enableFormatConditionsCalculation="0">
    <tabColor indexed="8"/>
  </sheetPr>
  <dimension ref="A1:I379"/>
  <sheetViews>
    <sheetView showGridLines="0" zoomScale="85" workbookViewId="0">
      <selection activeCell="F9" sqref="F9"/>
    </sheetView>
  </sheetViews>
  <sheetFormatPr baseColWidth="10" defaultColWidth="9.140625" defaultRowHeight="13.5"/>
  <cols>
    <col min="1" max="1" width="11.140625" style="7" customWidth="1"/>
    <col min="2" max="2" width="12.42578125" style="6" customWidth="1"/>
    <col min="3" max="3" width="17.5703125" style="6" customWidth="1"/>
    <col min="4" max="4" width="14.42578125" style="6" customWidth="1"/>
    <col min="5" max="5" width="17.85546875" style="6" customWidth="1"/>
    <col min="6" max="6" width="12.85546875" style="6" bestFit="1" customWidth="1"/>
    <col min="7" max="7" width="9.140625" style="6" customWidth="1"/>
    <col min="8" max="8" width="14.7109375" style="6" customWidth="1"/>
    <col min="9" max="16384" width="9.140625" style="6"/>
  </cols>
  <sheetData>
    <row r="1" spans="1:9">
      <c r="A1" s="4" t="str">
        <f>+'Cálculo préstamo Año 1'!A1</f>
        <v>ALFA</v>
      </c>
    </row>
    <row r="2" spans="1:9">
      <c r="A2" s="4" t="s">
        <v>190</v>
      </c>
      <c r="B2" s="222">
        <f>+'C Balance'!I5</f>
        <v>2015</v>
      </c>
    </row>
    <row r="4" spans="1:9">
      <c r="A4" s="4" t="s">
        <v>2</v>
      </c>
      <c r="B4" s="5" t="s">
        <v>191</v>
      </c>
      <c r="C4" s="5"/>
      <c r="D4" s="5"/>
      <c r="E4" s="223">
        <f>+'2 Financiación'!I20</f>
        <v>583.95000000000005</v>
      </c>
    </row>
    <row r="5" spans="1:9">
      <c r="A5" s="4"/>
      <c r="B5" s="6" t="s">
        <v>192</v>
      </c>
      <c r="E5" s="14"/>
    </row>
    <row r="6" spans="1:9">
      <c r="B6" s="6" t="s">
        <v>193</v>
      </c>
      <c r="D6" s="8"/>
      <c r="E6" s="14"/>
    </row>
    <row r="7" spans="1:9">
      <c r="B7" s="5" t="s">
        <v>30</v>
      </c>
      <c r="C7" s="5"/>
      <c r="D7" s="5"/>
      <c r="E7" s="223">
        <f>+E4-E5-E6</f>
        <v>583.95000000000005</v>
      </c>
      <c r="F7" s="2"/>
    </row>
    <row r="8" spans="1:9">
      <c r="B8" s="6" t="s">
        <v>194</v>
      </c>
      <c r="E8" s="8">
        <f>+'2 Financiación'!I31</f>
        <v>0.06</v>
      </c>
      <c r="F8" s="9"/>
    </row>
    <row r="9" spans="1:9">
      <c r="B9" s="6" t="s">
        <v>195</v>
      </c>
      <c r="E9" s="6">
        <f>+'2 Financiación'!I32*'Cálculo préstamo Año 2'!E10</f>
        <v>96</v>
      </c>
      <c r="F9" s="476">
        <f>+E9/12</f>
        <v>8</v>
      </c>
    </row>
    <row r="10" spans="1:9">
      <c r="B10" s="6" t="s">
        <v>196</v>
      </c>
      <c r="E10" s="6">
        <v>12</v>
      </c>
      <c r="F10" s="9"/>
    </row>
    <row r="11" spans="1:9">
      <c r="B11" s="6" t="s">
        <v>197</v>
      </c>
      <c r="E11" s="10"/>
      <c r="F11" s="11">
        <f>+E11*E4</f>
        <v>0</v>
      </c>
      <c r="G11" s="12"/>
    </row>
    <row r="12" spans="1:9">
      <c r="E12" s="12"/>
      <c r="F12" s="9"/>
    </row>
    <row r="13" spans="1:9">
      <c r="D13" s="5" t="s">
        <v>201</v>
      </c>
      <c r="E13" s="91">
        <f>PMT(E8/E10, E9, E7)*(-1)</f>
        <v>7.6739381712109722</v>
      </c>
      <c r="F13" s="11"/>
      <c r="G13" s="11"/>
    </row>
    <row r="14" spans="1:9">
      <c r="I14" s="224"/>
    </row>
    <row r="15" spans="1:9" ht="14.25" thickBot="1">
      <c r="A15" s="94" t="s">
        <v>3</v>
      </c>
      <c r="B15" s="95" t="s">
        <v>1</v>
      </c>
      <c r="C15" s="95" t="s">
        <v>198</v>
      </c>
      <c r="D15" s="95" t="s">
        <v>199</v>
      </c>
      <c r="E15" s="95" t="s">
        <v>200</v>
      </c>
      <c r="F15" s="95" t="s">
        <v>4</v>
      </c>
    </row>
    <row r="17" spans="1:8">
      <c r="A17" s="13" t="s">
        <v>252</v>
      </c>
      <c r="B17" s="14">
        <f>+SUM(B20:B379)</f>
        <v>736.69806443625214</v>
      </c>
      <c r="C17" s="14">
        <f>+SUM(C20:C379)</f>
        <v>152.74814999999995</v>
      </c>
      <c r="D17" s="14">
        <f>+SUM(D20:D379)</f>
        <v>583.94991443625315</v>
      </c>
      <c r="E17" s="14"/>
    </row>
    <row r="18" spans="1:8">
      <c r="B18" s="2"/>
      <c r="C18" s="2"/>
      <c r="D18" s="2"/>
    </row>
    <row r="19" spans="1:8">
      <c r="C19" s="15"/>
      <c r="D19" s="15"/>
      <c r="E19" s="15"/>
      <c r="F19" s="14">
        <f>E7</f>
        <v>583.95000000000005</v>
      </c>
    </row>
    <row r="20" spans="1:8" s="225" customFormat="1">
      <c r="A20" s="16">
        <v>1</v>
      </c>
      <c r="B20" s="17">
        <f t="shared" ref="B20:B83" si="0">IF(A20&lt;=$E$9,C20+D20,"")</f>
        <v>7.6739381712109722</v>
      </c>
      <c r="C20" s="17">
        <f t="shared" ref="C20:C83" si="1">IF(A20&lt;=$E$9,F19*($E$8/$E$10),"")</f>
        <v>2.9197500000000001</v>
      </c>
      <c r="D20" s="17">
        <f t="shared" ref="D20:D83" si="2">IF(A20&lt;=$E$9,$E$13-C20,"")</f>
        <v>4.7541881712109717</v>
      </c>
      <c r="E20" s="17">
        <f t="shared" ref="E20:E83" si="3">IF(A20&lt;=$E$9,E19+D20,"")</f>
        <v>4.7541881712109717</v>
      </c>
      <c r="F20" s="17">
        <f t="shared" ref="F20:F83" si="4">IF(A20&lt;=$E$9,ROUND(($F$19-E20),2),"")</f>
        <v>579.20000000000005</v>
      </c>
      <c r="H20" s="226"/>
    </row>
    <row r="21" spans="1:8" s="225" customFormat="1">
      <c r="A21" s="16">
        <f t="shared" ref="A21:A84" si="5">IF(A20&lt;$E$9,A20+1,"")</f>
        <v>2</v>
      </c>
      <c r="B21" s="17">
        <f t="shared" si="0"/>
        <v>7.6739381712109722</v>
      </c>
      <c r="C21" s="17">
        <f t="shared" si="1"/>
        <v>2.8960000000000004</v>
      </c>
      <c r="D21" s="17">
        <f t="shared" si="2"/>
        <v>4.7779381712109714</v>
      </c>
      <c r="E21" s="17">
        <f t="shared" si="3"/>
        <v>9.5321263424219431</v>
      </c>
      <c r="F21" s="17">
        <f t="shared" si="4"/>
        <v>574.41999999999996</v>
      </c>
      <c r="H21" s="226"/>
    </row>
    <row r="22" spans="1:8" s="225" customFormat="1">
      <c r="A22" s="16">
        <f t="shared" si="5"/>
        <v>3</v>
      </c>
      <c r="B22" s="17">
        <f t="shared" si="0"/>
        <v>7.6739381712109722</v>
      </c>
      <c r="C22" s="17">
        <f t="shared" si="1"/>
        <v>2.8720999999999997</v>
      </c>
      <c r="D22" s="17">
        <f t="shared" si="2"/>
        <v>4.8018381712109726</v>
      </c>
      <c r="E22" s="17">
        <f t="shared" si="3"/>
        <v>14.333964513632916</v>
      </c>
      <c r="F22" s="17">
        <f t="shared" si="4"/>
        <v>569.62</v>
      </c>
      <c r="H22" s="226"/>
    </row>
    <row r="23" spans="1:8">
      <c r="A23" s="16">
        <f t="shared" si="5"/>
        <v>4</v>
      </c>
      <c r="B23" s="17">
        <f t="shared" si="0"/>
        <v>7.6739381712109722</v>
      </c>
      <c r="C23" s="17">
        <f t="shared" si="1"/>
        <v>2.8481000000000001</v>
      </c>
      <c r="D23" s="17">
        <f t="shared" si="2"/>
        <v>4.8258381712109717</v>
      </c>
      <c r="E23" s="17">
        <f t="shared" si="3"/>
        <v>19.159802684843889</v>
      </c>
      <c r="F23" s="17">
        <f t="shared" si="4"/>
        <v>564.79</v>
      </c>
      <c r="H23" s="227"/>
    </row>
    <row r="24" spans="1:8">
      <c r="A24" s="16">
        <f t="shared" si="5"/>
        <v>5</v>
      </c>
      <c r="B24" s="17">
        <f t="shared" si="0"/>
        <v>7.6739381712109722</v>
      </c>
      <c r="C24" s="17">
        <f t="shared" si="1"/>
        <v>2.82395</v>
      </c>
      <c r="D24" s="17">
        <f t="shared" si="2"/>
        <v>4.8499881712109723</v>
      </c>
      <c r="E24" s="17">
        <f t="shared" si="3"/>
        <v>24.009790856054863</v>
      </c>
      <c r="F24" s="17">
        <f t="shared" si="4"/>
        <v>559.94000000000005</v>
      </c>
      <c r="H24" s="227"/>
    </row>
    <row r="25" spans="1:8">
      <c r="A25" s="16">
        <f t="shared" si="5"/>
        <v>6</v>
      </c>
      <c r="B25" s="17">
        <f t="shared" si="0"/>
        <v>7.6739381712109722</v>
      </c>
      <c r="C25" s="17">
        <f t="shared" si="1"/>
        <v>2.7997000000000005</v>
      </c>
      <c r="D25" s="17">
        <f t="shared" si="2"/>
        <v>4.8742381712109717</v>
      </c>
      <c r="E25" s="17">
        <f t="shared" si="3"/>
        <v>28.884029027265836</v>
      </c>
      <c r="F25" s="17">
        <f t="shared" si="4"/>
        <v>555.07000000000005</v>
      </c>
      <c r="H25" s="227"/>
    </row>
    <row r="26" spans="1:8">
      <c r="A26" s="16">
        <f t="shared" si="5"/>
        <v>7</v>
      </c>
      <c r="B26" s="17">
        <f t="shared" si="0"/>
        <v>7.6739381712109722</v>
      </c>
      <c r="C26" s="17">
        <f t="shared" si="1"/>
        <v>2.7753500000000004</v>
      </c>
      <c r="D26" s="17">
        <f t="shared" si="2"/>
        <v>4.8985881712109718</v>
      </c>
      <c r="E26" s="17">
        <f t="shared" si="3"/>
        <v>33.782617198476807</v>
      </c>
      <c r="F26" s="17">
        <f t="shared" si="4"/>
        <v>550.16999999999996</v>
      </c>
      <c r="H26" s="227"/>
    </row>
    <row r="27" spans="1:8">
      <c r="A27" s="16">
        <f t="shared" si="5"/>
        <v>8</v>
      </c>
      <c r="B27" s="17">
        <f t="shared" si="0"/>
        <v>7.6739381712109722</v>
      </c>
      <c r="C27" s="17">
        <f t="shared" si="1"/>
        <v>2.7508499999999998</v>
      </c>
      <c r="D27" s="17">
        <f t="shared" si="2"/>
        <v>4.9230881712109724</v>
      </c>
      <c r="E27" s="17">
        <f t="shared" si="3"/>
        <v>38.705705369687777</v>
      </c>
      <c r="F27" s="17">
        <f t="shared" si="4"/>
        <v>545.24</v>
      </c>
      <c r="H27" s="227"/>
    </row>
    <row r="28" spans="1:8">
      <c r="A28" s="16">
        <f t="shared" si="5"/>
        <v>9</v>
      </c>
      <c r="B28" s="17">
        <f t="shared" si="0"/>
        <v>7.6739381712109722</v>
      </c>
      <c r="C28" s="17">
        <f t="shared" si="1"/>
        <v>2.7262</v>
      </c>
      <c r="D28" s="17">
        <f t="shared" si="2"/>
        <v>4.9477381712109718</v>
      </c>
      <c r="E28" s="17">
        <f t="shared" si="3"/>
        <v>43.653443540898749</v>
      </c>
      <c r="F28" s="17">
        <f t="shared" si="4"/>
        <v>540.29999999999995</v>
      </c>
    </row>
    <row r="29" spans="1:8">
      <c r="A29" s="16">
        <f t="shared" si="5"/>
        <v>10</v>
      </c>
      <c r="B29" s="17">
        <f t="shared" si="0"/>
        <v>7.6739381712109722</v>
      </c>
      <c r="C29" s="17">
        <f t="shared" si="1"/>
        <v>2.7014999999999998</v>
      </c>
      <c r="D29" s="17">
        <f t="shared" si="2"/>
        <v>4.9724381712109729</v>
      </c>
      <c r="E29" s="17">
        <f t="shared" si="3"/>
        <v>48.625881712109724</v>
      </c>
      <c r="F29" s="17">
        <f t="shared" si="4"/>
        <v>535.32000000000005</v>
      </c>
    </row>
    <row r="30" spans="1:8">
      <c r="A30" s="16">
        <f t="shared" si="5"/>
        <v>11</v>
      </c>
      <c r="B30" s="17">
        <f t="shared" si="0"/>
        <v>7.6739381712109722</v>
      </c>
      <c r="C30" s="17">
        <f t="shared" si="1"/>
        <v>2.6766000000000001</v>
      </c>
      <c r="D30" s="17">
        <f t="shared" si="2"/>
        <v>4.9973381712109717</v>
      </c>
      <c r="E30" s="17">
        <f t="shared" si="3"/>
        <v>53.623219883320694</v>
      </c>
      <c r="F30" s="17">
        <f t="shared" si="4"/>
        <v>530.33000000000004</v>
      </c>
    </row>
    <row r="31" spans="1:8">
      <c r="A31" s="16">
        <f t="shared" si="5"/>
        <v>12</v>
      </c>
      <c r="B31" s="17">
        <f t="shared" si="0"/>
        <v>7.6739381712109722</v>
      </c>
      <c r="C31" s="17">
        <f t="shared" si="1"/>
        <v>2.6516500000000001</v>
      </c>
      <c r="D31" s="17">
        <f t="shared" si="2"/>
        <v>5.0222881712109722</v>
      </c>
      <c r="E31" s="17">
        <f t="shared" si="3"/>
        <v>58.645508054531668</v>
      </c>
      <c r="F31" s="17">
        <f t="shared" si="4"/>
        <v>525.29999999999995</v>
      </c>
    </row>
    <row r="32" spans="1:8">
      <c r="A32" s="16">
        <f t="shared" si="5"/>
        <v>13</v>
      </c>
      <c r="B32" s="17">
        <f t="shared" si="0"/>
        <v>7.6739381712109722</v>
      </c>
      <c r="C32" s="17">
        <f t="shared" si="1"/>
        <v>2.6264999999999996</v>
      </c>
      <c r="D32" s="17">
        <f t="shared" si="2"/>
        <v>5.0474381712109722</v>
      </c>
      <c r="E32" s="17">
        <f t="shared" si="3"/>
        <v>63.692946225742638</v>
      </c>
      <c r="F32" s="17">
        <f t="shared" si="4"/>
        <v>520.26</v>
      </c>
    </row>
    <row r="33" spans="1:6">
      <c r="A33" s="16">
        <f t="shared" si="5"/>
        <v>14</v>
      </c>
      <c r="B33" s="17">
        <f t="shared" si="0"/>
        <v>7.6739381712109722</v>
      </c>
      <c r="C33" s="17">
        <f t="shared" si="1"/>
        <v>2.6013000000000002</v>
      </c>
      <c r="D33" s="17">
        <f t="shared" si="2"/>
        <v>5.072638171210972</v>
      </c>
      <c r="E33" s="17">
        <f t="shared" si="3"/>
        <v>68.765584396953614</v>
      </c>
      <c r="F33" s="17">
        <f t="shared" si="4"/>
        <v>515.17999999999995</v>
      </c>
    </row>
    <row r="34" spans="1:6">
      <c r="A34" s="16">
        <f t="shared" si="5"/>
        <v>15</v>
      </c>
      <c r="B34" s="17">
        <f t="shared" si="0"/>
        <v>7.6739381712109722</v>
      </c>
      <c r="C34" s="17">
        <f t="shared" si="1"/>
        <v>2.5758999999999999</v>
      </c>
      <c r="D34" s="17">
        <f t="shared" si="2"/>
        <v>5.0980381712109724</v>
      </c>
      <c r="E34" s="17">
        <f t="shared" si="3"/>
        <v>73.863622568164587</v>
      </c>
      <c r="F34" s="17">
        <f t="shared" si="4"/>
        <v>510.09</v>
      </c>
    </row>
    <row r="35" spans="1:6">
      <c r="A35" s="7">
        <f t="shared" si="5"/>
        <v>16</v>
      </c>
      <c r="B35" s="14">
        <f t="shared" si="0"/>
        <v>7.6739381712109722</v>
      </c>
      <c r="C35" s="14">
        <f t="shared" si="1"/>
        <v>2.5504500000000001</v>
      </c>
      <c r="D35" s="14">
        <f t="shared" si="2"/>
        <v>5.1234881712109726</v>
      </c>
      <c r="E35" s="14">
        <f t="shared" si="3"/>
        <v>78.987110739375566</v>
      </c>
      <c r="F35" s="14">
        <f t="shared" si="4"/>
        <v>504.96</v>
      </c>
    </row>
    <row r="36" spans="1:6">
      <c r="A36" s="7">
        <f t="shared" si="5"/>
        <v>17</v>
      </c>
      <c r="B36" s="14">
        <f t="shared" si="0"/>
        <v>7.6739381712109722</v>
      </c>
      <c r="C36" s="14">
        <f t="shared" si="1"/>
        <v>2.5247999999999999</v>
      </c>
      <c r="D36" s="14">
        <f t="shared" si="2"/>
        <v>5.1491381712109723</v>
      </c>
      <c r="E36" s="14">
        <f t="shared" si="3"/>
        <v>84.136248910586545</v>
      </c>
      <c r="F36" s="14">
        <f t="shared" si="4"/>
        <v>499.81</v>
      </c>
    </row>
    <row r="37" spans="1:6">
      <c r="A37" s="7">
        <f t="shared" si="5"/>
        <v>18</v>
      </c>
      <c r="B37" s="14">
        <f t="shared" si="0"/>
        <v>7.6739381712109722</v>
      </c>
      <c r="C37" s="14">
        <f t="shared" si="1"/>
        <v>2.49905</v>
      </c>
      <c r="D37" s="14">
        <f t="shared" si="2"/>
        <v>5.1748881712109718</v>
      </c>
      <c r="E37" s="14">
        <f t="shared" si="3"/>
        <v>89.311137081797511</v>
      </c>
      <c r="F37" s="14">
        <f t="shared" si="4"/>
        <v>494.64</v>
      </c>
    </row>
    <row r="38" spans="1:6">
      <c r="A38" s="7">
        <f t="shared" si="5"/>
        <v>19</v>
      </c>
      <c r="B38" s="14">
        <f t="shared" si="0"/>
        <v>7.6739381712109722</v>
      </c>
      <c r="C38" s="14">
        <f t="shared" si="1"/>
        <v>2.4731999999999998</v>
      </c>
      <c r="D38" s="14">
        <f t="shared" si="2"/>
        <v>5.2007381712109719</v>
      </c>
      <c r="E38" s="14">
        <f t="shared" si="3"/>
        <v>94.511875253008483</v>
      </c>
      <c r="F38" s="14">
        <f t="shared" si="4"/>
        <v>489.44</v>
      </c>
    </row>
    <row r="39" spans="1:6">
      <c r="A39" s="7">
        <f t="shared" si="5"/>
        <v>20</v>
      </c>
      <c r="B39" s="14">
        <f t="shared" si="0"/>
        <v>7.6739381712109722</v>
      </c>
      <c r="C39" s="14">
        <f t="shared" si="1"/>
        <v>2.4472</v>
      </c>
      <c r="D39" s="14">
        <f t="shared" si="2"/>
        <v>5.2267381712109717</v>
      </c>
      <c r="E39" s="14">
        <f t="shared" si="3"/>
        <v>99.738613424219452</v>
      </c>
      <c r="F39" s="14">
        <f t="shared" si="4"/>
        <v>484.21</v>
      </c>
    </row>
    <row r="40" spans="1:6">
      <c r="A40" s="7">
        <f t="shared" si="5"/>
        <v>21</v>
      </c>
      <c r="B40" s="14">
        <f t="shared" si="0"/>
        <v>7.6739381712109722</v>
      </c>
      <c r="C40" s="14">
        <f t="shared" si="1"/>
        <v>2.4210500000000001</v>
      </c>
      <c r="D40" s="14">
        <f t="shared" si="2"/>
        <v>5.2528881712109721</v>
      </c>
      <c r="E40" s="14">
        <f t="shared" si="3"/>
        <v>104.99150159543042</v>
      </c>
      <c r="F40" s="14">
        <f t="shared" si="4"/>
        <v>478.96</v>
      </c>
    </row>
    <row r="41" spans="1:6">
      <c r="A41" s="7">
        <f t="shared" si="5"/>
        <v>22</v>
      </c>
      <c r="B41" s="14">
        <f t="shared" si="0"/>
        <v>7.6739381712109722</v>
      </c>
      <c r="C41" s="14">
        <f t="shared" si="1"/>
        <v>2.3948</v>
      </c>
      <c r="D41" s="14">
        <f t="shared" si="2"/>
        <v>5.2791381712109722</v>
      </c>
      <c r="E41" s="14">
        <f t="shared" si="3"/>
        <v>110.27063976664139</v>
      </c>
      <c r="F41" s="14">
        <f t="shared" si="4"/>
        <v>473.68</v>
      </c>
    </row>
    <row r="42" spans="1:6">
      <c r="A42" s="7">
        <f t="shared" si="5"/>
        <v>23</v>
      </c>
      <c r="B42" s="14">
        <f t="shared" si="0"/>
        <v>7.6739381712109722</v>
      </c>
      <c r="C42" s="14">
        <f t="shared" si="1"/>
        <v>2.3684000000000003</v>
      </c>
      <c r="D42" s="14">
        <f t="shared" si="2"/>
        <v>5.3055381712109719</v>
      </c>
      <c r="E42" s="14">
        <f t="shared" si="3"/>
        <v>115.57617793785236</v>
      </c>
      <c r="F42" s="14">
        <f t="shared" si="4"/>
        <v>468.37</v>
      </c>
    </row>
    <row r="43" spans="1:6">
      <c r="A43" s="7">
        <f t="shared" si="5"/>
        <v>24</v>
      </c>
      <c r="B43" s="14">
        <f t="shared" si="0"/>
        <v>7.6739381712109722</v>
      </c>
      <c r="C43" s="14">
        <f t="shared" si="1"/>
        <v>2.34185</v>
      </c>
      <c r="D43" s="14">
        <f t="shared" si="2"/>
        <v>5.3320881712109722</v>
      </c>
      <c r="E43" s="14">
        <f t="shared" si="3"/>
        <v>120.90826610906333</v>
      </c>
      <c r="F43" s="14">
        <f t="shared" si="4"/>
        <v>463.04</v>
      </c>
    </row>
    <row r="44" spans="1:6">
      <c r="A44" s="7">
        <f t="shared" si="5"/>
        <v>25</v>
      </c>
      <c r="B44" s="14">
        <f t="shared" si="0"/>
        <v>7.6739381712109722</v>
      </c>
      <c r="C44" s="14">
        <f t="shared" si="1"/>
        <v>2.3152000000000004</v>
      </c>
      <c r="D44" s="14">
        <f t="shared" si="2"/>
        <v>5.3587381712109714</v>
      </c>
      <c r="E44" s="14">
        <f t="shared" si="3"/>
        <v>126.26700428027431</v>
      </c>
      <c r="F44" s="14">
        <f t="shared" si="4"/>
        <v>457.68</v>
      </c>
    </row>
    <row r="45" spans="1:6">
      <c r="A45" s="7">
        <f t="shared" si="5"/>
        <v>26</v>
      </c>
      <c r="B45" s="14">
        <f t="shared" si="0"/>
        <v>7.6739381712109722</v>
      </c>
      <c r="C45" s="14">
        <f t="shared" si="1"/>
        <v>2.2884000000000002</v>
      </c>
      <c r="D45" s="14">
        <f t="shared" si="2"/>
        <v>5.385538171210972</v>
      </c>
      <c r="E45" s="14">
        <f t="shared" si="3"/>
        <v>131.65254245148529</v>
      </c>
      <c r="F45" s="14">
        <f t="shared" si="4"/>
        <v>452.3</v>
      </c>
    </row>
    <row r="46" spans="1:6">
      <c r="A46" s="7">
        <f t="shared" si="5"/>
        <v>27</v>
      </c>
      <c r="B46" s="14">
        <f t="shared" si="0"/>
        <v>7.6739381712109722</v>
      </c>
      <c r="C46" s="14">
        <f t="shared" si="1"/>
        <v>2.2615000000000003</v>
      </c>
      <c r="D46" s="14">
        <f t="shared" si="2"/>
        <v>5.4124381712109724</v>
      </c>
      <c r="E46" s="14">
        <f t="shared" si="3"/>
        <v>137.06498062269625</v>
      </c>
      <c r="F46" s="14">
        <f t="shared" si="4"/>
        <v>446.89</v>
      </c>
    </row>
    <row r="47" spans="1:6">
      <c r="A47" s="7">
        <f t="shared" si="5"/>
        <v>28</v>
      </c>
      <c r="B47" s="14">
        <f t="shared" si="0"/>
        <v>7.6739381712109722</v>
      </c>
      <c r="C47" s="14">
        <f t="shared" si="1"/>
        <v>2.2344499999999998</v>
      </c>
      <c r="D47" s="14">
        <f t="shared" si="2"/>
        <v>5.4394881712109724</v>
      </c>
      <c r="E47" s="14">
        <f t="shared" si="3"/>
        <v>142.50446879390722</v>
      </c>
      <c r="F47" s="14">
        <f t="shared" si="4"/>
        <v>441.45</v>
      </c>
    </row>
    <row r="48" spans="1:6">
      <c r="A48" s="7">
        <f t="shared" si="5"/>
        <v>29</v>
      </c>
      <c r="B48" s="14">
        <f t="shared" si="0"/>
        <v>7.6739381712109722</v>
      </c>
      <c r="C48" s="14">
        <f t="shared" si="1"/>
        <v>2.2072500000000002</v>
      </c>
      <c r="D48" s="14">
        <f t="shared" si="2"/>
        <v>5.4666881712109721</v>
      </c>
      <c r="E48" s="14">
        <f t="shared" si="3"/>
        <v>147.97115696511818</v>
      </c>
      <c r="F48" s="14">
        <f t="shared" si="4"/>
        <v>435.98</v>
      </c>
    </row>
    <row r="49" spans="1:6">
      <c r="A49" s="7">
        <f t="shared" si="5"/>
        <v>30</v>
      </c>
      <c r="B49" s="14">
        <f t="shared" si="0"/>
        <v>7.6739381712109722</v>
      </c>
      <c r="C49" s="14">
        <f t="shared" si="1"/>
        <v>2.1798999999999999</v>
      </c>
      <c r="D49" s="14">
        <f t="shared" si="2"/>
        <v>5.4940381712109723</v>
      </c>
      <c r="E49" s="14">
        <f t="shared" si="3"/>
        <v>153.46519513632916</v>
      </c>
      <c r="F49" s="14">
        <f t="shared" si="4"/>
        <v>430.48</v>
      </c>
    </row>
    <row r="50" spans="1:6">
      <c r="A50" s="7">
        <f t="shared" si="5"/>
        <v>31</v>
      </c>
      <c r="B50" s="14">
        <f t="shared" si="0"/>
        <v>7.6739381712109722</v>
      </c>
      <c r="C50" s="14">
        <f t="shared" si="1"/>
        <v>2.1524000000000001</v>
      </c>
      <c r="D50" s="14">
        <f t="shared" si="2"/>
        <v>5.5215381712109721</v>
      </c>
      <c r="E50" s="14">
        <f t="shared" si="3"/>
        <v>158.98673330754013</v>
      </c>
      <c r="F50" s="14">
        <f t="shared" si="4"/>
        <v>424.96</v>
      </c>
    </row>
    <row r="51" spans="1:6">
      <c r="A51" s="7">
        <f t="shared" si="5"/>
        <v>32</v>
      </c>
      <c r="B51" s="14">
        <f t="shared" si="0"/>
        <v>7.6739381712109722</v>
      </c>
      <c r="C51" s="14">
        <f t="shared" si="1"/>
        <v>2.1248</v>
      </c>
      <c r="D51" s="14">
        <f t="shared" si="2"/>
        <v>5.5491381712109717</v>
      </c>
      <c r="E51" s="14">
        <f t="shared" si="3"/>
        <v>164.53587147875112</v>
      </c>
      <c r="F51" s="14">
        <f t="shared" si="4"/>
        <v>419.41</v>
      </c>
    </row>
    <row r="52" spans="1:6">
      <c r="A52" s="7">
        <f t="shared" si="5"/>
        <v>33</v>
      </c>
      <c r="B52" s="14">
        <f t="shared" si="0"/>
        <v>7.6739381712109722</v>
      </c>
      <c r="C52" s="14">
        <f t="shared" si="1"/>
        <v>2.0970500000000003</v>
      </c>
      <c r="D52" s="14">
        <f t="shared" si="2"/>
        <v>5.5768881712109719</v>
      </c>
      <c r="E52" s="14">
        <f t="shared" si="3"/>
        <v>170.1127596499621</v>
      </c>
      <c r="F52" s="14">
        <f t="shared" si="4"/>
        <v>413.84</v>
      </c>
    </row>
    <row r="53" spans="1:6">
      <c r="A53" s="7">
        <f t="shared" si="5"/>
        <v>34</v>
      </c>
      <c r="B53" s="14">
        <f t="shared" si="0"/>
        <v>7.6739381712109722</v>
      </c>
      <c r="C53" s="14">
        <f t="shared" si="1"/>
        <v>2.0691999999999999</v>
      </c>
      <c r="D53" s="14">
        <f t="shared" si="2"/>
        <v>5.6047381712109718</v>
      </c>
      <c r="E53" s="14">
        <f t="shared" si="3"/>
        <v>175.71749782117308</v>
      </c>
      <c r="F53" s="14">
        <f t="shared" si="4"/>
        <v>408.23</v>
      </c>
    </row>
    <row r="54" spans="1:6">
      <c r="A54" s="7">
        <f t="shared" si="5"/>
        <v>35</v>
      </c>
      <c r="B54" s="14">
        <f t="shared" si="0"/>
        <v>7.6739381712109722</v>
      </c>
      <c r="C54" s="14">
        <f t="shared" si="1"/>
        <v>2.04115</v>
      </c>
      <c r="D54" s="14">
        <f t="shared" si="2"/>
        <v>5.6327881712109722</v>
      </c>
      <c r="E54" s="14">
        <f t="shared" si="3"/>
        <v>181.35028599238404</v>
      </c>
      <c r="F54" s="14">
        <f t="shared" si="4"/>
        <v>402.6</v>
      </c>
    </row>
    <row r="55" spans="1:6">
      <c r="A55" s="7">
        <f t="shared" si="5"/>
        <v>36</v>
      </c>
      <c r="B55" s="14">
        <f t="shared" si="0"/>
        <v>7.6739381712109722</v>
      </c>
      <c r="C55" s="14">
        <f t="shared" si="1"/>
        <v>2.0130000000000003</v>
      </c>
      <c r="D55" s="14">
        <f t="shared" si="2"/>
        <v>5.6609381712109723</v>
      </c>
      <c r="E55" s="14">
        <f t="shared" si="3"/>
        <v>187.01122416359502</v>
      </c>
      <c r="F55" s="14">
        <f t="shared" si="4"/>
        <v>396.94</v>
      </c>
    </row>
    <row r="56" spans="1:6">
      <c r="A56" s="7">
        <f t="shared" si="5"/>
        <v>37</v>
      </c>
      <c r="B56" s="14">
        <f t="shared" si="0"/>
        <v>7.6739381712109722</v>
      </c>
      <c r="C56" s="14">
        <f t="shared" si="1"/>
        <v>1.9847000000000001</v>
      </c>
      <c r="D56" s="14">
        <f t="shared" si="2"/>
        <v>5.6892381712109721</v>
      </c>
      <c r="E56" s="14">
        <f t="shared" si="3"/>
        <v>192.70046233480599</v>
      </c>
      <c r="F56" s="14">
        <f t="shared" si="4"/>
        <v>391.25</v>
      </c>
    </row>
    <row r="57" spans="1:6">
      <c r="A57" s="7">
        <f t="shared" si="5"/>
        <v>38</v>
      </c>
      <c r="B57" s="14">
        <f t="shared" si="0"/>
        <v>7.6739381712109722</v>
      </c>
      <c r="C57" s="14">
        <f t="shared" si="1"/>
        <v>1.95625</v>
      </c>
      <c r="D57" s="14">
        <f t="shared" si="2"/>
        <v>5.7176881712109724</v>
      </c>
      <c r="E57" s="14">
        <f t="shared" si="3"/>
        <v>198.41815050601696</v>
      </c>
      <c r="F57" s="14">
        <f t="shared" si="4"/>
        <v>385.53</v>
      </c>
    </row>
    <row r="58" spans="1:6">
      <c r="A58" s="7">
        <f t="shared" si="5"/>
        <v>39</v>
      </c>
      <c r="B58" s="14">
        <f t="shared" si="0"/>
        <v>7.6739381712109722</v>
      </c>
      <c r="C58" s="14">
        <f t="shared" si="1"/>
        <v>1.9276499999999999</v>
      </c>
      <c r="D58" s="14">
        <f t="shared" si="2"/>
        <v>5.7462881712109724</v>
      </c>
      <c r="E58" s="14">
        <f t="shared" si="3"/>
        <v>204.16443867722793</v>
      </c>
      <c r="F58" s="14">
        <f t="shared" si="4"/>
        <v>379.79</v>
      </c>
    </row>
    <row r="59" spans="1:6">
      <c r="A59" s="7">
        <f t="shared" si="5"/>
        <v>40</v>
      </c>
      <c r="B59" s="14">
        <f t="shared" si="0"/>
        <v>7.6739381712109722</v>
      </c>
      <c r="C59" s="14">
        <f t="shared" si="1"/>
        <v>1.8989500000000001</v>
      </c>
      <c r="D59" s="14">
        <f t="shared" si="2"/>
        <v>5.7749881712109721</v>
      </c>
      <c r="E59" s="14">
        <f t="shared" si="3"/>
        <v>209.9394268484389</v>
      </c>
      <c r="F59" s="14">
        <f t="shared" si="4"/>
        <v>374.01</v>
      </c>
    </row>
    <row r="60" spans="1:6">
      <c r="A60" s="7">
        <f t="shared" si="5"/>
        <v>41</v>
      </c>
      <c r="B60" s="14">
        <f t="shared" si="0"/>
        <v>7.6739381712109722</v>
      </c>
      <c r="C60" s="14">
        <f t="shared" si="1"/>
        <v>1.87005</v>
      </c>
      <c r="D60" s="14">
        <f t="shared" si="2"/>
        <v>5.8038881712109722</v>
      </c>
      <c r="E60" s="14">
        <f t="shared" si="3"/>
        <v>215.74331501964988</v>
      </c>
      <c r="F60" s="14">
        <f t="shared" si="4"/>
        <v>368.21</v>
      </c>
    </row>
    <row r="61" spans="1:6">
      <c r="A61" s="7">
        <f t="shared" si="5"/>
        <v>42</v>
      </c>
      <c r="B61" s="14">
        <f t="shared" si="0"/>
        <v>7.6739381712109722</v>
      </c>
      <c r="C61" s="14">
        <f t="shared" si="1"/>
        <v>1.8410499999999999</v>
      </c>
      <c r="D61" s="14">
        <f t="shared" si="2"/>
        <v>5.8328881712109721</v>
      </c>
      <c r="E61" s="14">
        <f t="shared" si="3"/>
        <v>221.57620319086087</v>
      </c>
      <c r="F61" s="14">
        <f t="shared" si="4"/>
        <v>362.37</v>
      </c>
    </row>
    <row r="62" spans="1:6">
      <c r="A62" s="7">
        <f t="shared" si="5"/>
        <v>43</v>
      </c>
      <c r="B62" s="14">
        <f t="shared" si="0"/>
        <v>7.6739381712109722</v>
      </c>
      <c r="C62" s="14">
        <f t="shared" si="1"/>
        <v>1.81185</v>
      </c>
      <c r="D62" s="14">
        <f t="shared" si="2"/>
        <v>5.8620881712109725</v>
      </c>
      <c r="E62" s="14">
        <f t="shared" si="3"/>
        <v>227.43829136207185</v>
      </c>
      <c r="F62" s="14">
        <f t="shared" si="4"/>
        <v>356.51</v>
      </c>
    </row>
    <row r="63" spans="1:6">
      <c r="A63" s="7">
        <f t="shared" si="5"/>
        <v>44</v>
      </c>
      <c r="B63" s="14">
        <f t="shared" si="0"/>
        <v>7.6739381712109722</v>
      </c>
      <c r="C63" s="14">
        <f t="shared" si="1"/>
        <v>1.7825500000000001</v>
      </c>
      <c r="D63" s="14">
        <f t="shared" si="2"/>
        <v>5.8913881712109717</v>
      </c>
      <c r="E63" s="14">
        <f t="shared" si="3"/>
        <v>233.32967953328281</v>
      </c>
      <c r="F63" s="14">
        <f t="shared" si="4"/>
        <v>350.62</v>
      </c>
    </row>
    <row r="64" spans="1:6">
      <c r="A64" s="7">
        <f t="shared" si="5"/>
        <v>45</v>
      </c>
      <c r="B64" s="14">
        <f t="shared" si="0"/>
        <v>7.6739381712109722</v>
      </c>
      <c r="C64" s="14">
        <f t="shared" si="1"/>
        <v>1.7531000000000001</v>
      </c>
      <c r="D64" s="14">
        <f t="shared" si="2"/>
        <v>5.9208381712109723</v>
      </c>
      <c r="E64" s="14">
        <f t="shared" si="3"/>
        <v>239.25051770449377</v>
      </c>
      <c r="F64" s="14">
        <f t="shared" si="4"/>
        <v>344.7</v>
      </c>
    </row>
    <row r="65" spans="1:6">
      <c r="A65" s="7">
        <f t="shared" si="5"/>
        <v>46</v>
      </c>
      <c r="B65" s="14">
        <f t="shared" si="0"/>
        <v>7.6739381712109722</v>
      </c>
      <c r="C65" s="14">
        <f t="shared" si="1"/>
        <v>1.7235</v>
      </c>
      <c r="D65" s="14">
        <f t="shared" si="2"/>
        <v>5.9504381712109726</v>
      </c>
      <c r="E65" s="14">
        <f t="shared" si="3"/>
        <v>245.20095587570475</v>
      </c>
      <c r="F65" s="14">
        <f t="shared" si="4"/>
        <v>338.75</v>
      </c>
    </row>
    <row r="66" spans="1:6">
      <c r="A66" s="7">
        <f t="shared" si="5"/>
        <v>47</v>
      </c>
      <c r="B66" s="14">
        <f t="shared" si="0"/>
        <v>7.6739381712109722</v>
      </c>
      <c r="C66" s="14">
        <f t="shared" si="1"/>
        <v>1.6937500000000001</v>
      </c>
      <c r="D66" s="14">
        <f t="shared" si="2"/>
        <v>5.9801881712109726</v>
      </c>
      <c r="E66" s="14">
        <f t="shared" si="3"/>
        <v>251.18114404691573</v>
      </c>
      <c r="F66" s="14">
        <f t="shared" si="4"/>
        <v>332.77</v>
      </c>
    </row>
    <row r="67" spans="1:6">
      <c r="A67" s="7">
        <f t="shared" si="5"/>
        <v>48</v>
      </c>
      <c r="B67" s="14">
        <f t="shared" si="0"/>
        <v>7.6739381712109722</v>
      </c>
      <c r="C67" s="14">
        <f t="shared" si="1"/>
        <v>1.6638500000000001</v>
      </c>
      <c r="D67" s="14">
        <f t="shared" si="2"/>
        <v>6.0100881712109722</v>
      </c>
      <c r="E67" s="14">
        <f t="shared" si="3"/>
        <v>257.19123221812669</v>
      </c>
      <c r="F67" s="14">
        <f t="shared" si="4"/>
        <v>326.76</v>
      </c>
    </row>
    <row r="68" spans="1:6">
      <c r="A68" s="7">
        <f t="shared" si="5"/>
        <v>49</v>
      </c>
      <c r="B68" s="14">
        <f t="shared" si="0"/>
        <v>7.6739381712109722</v>
      </c>
      <c r="C68" s="14">
        <f t="shared" si="1"/>
        <v>1.6337999999999999</v>
      </c>
      <c r="D68" s="14">
        <f t="shared" si="2"/>
        <v>6.0401381712109723</v>
      </c>
      <c r="E68" s="14">
        <f t="shared" si="3"/>
        <v>263.23137038933766</v>
      </c>
      <c r="F68" s="14">
        <f t="shared" si="4"/>
        <v>320.72000000000003</v>
      </c>
    </row>
    <row r="69" spans="1:6">
      <c r="A69" s="7">
        <f t="shared" si="5"/>
        <v>50</v>
      </c>
      <c r="B69" s="14">
        <f t="shared" si="0"/>
        <v>7.6739381712109722</v>
      </c>
      <c r="C69" s="14">
        <f t="shared" si="1"/>
        <v>1.6036000000000001</v>
      </c>
      <c r="D69" s="14">
        <f t="shared" si="2"/>
        <v>6.0703381712109721</v>
      </c>
      <c r="E69" s="14">
        <f t="shared" si="3"/>
        <v>269.3017085605486</v>
      </c>
      <c r="F69" s="14">
        <f t="shared" si="4"/>
        <v>314.64999999999998</v>
      </c>
    </row>
    <row r="70" spans="1:6">
      <c r="A70" s="7">
        <f t="shared" si="5"/>
        <v>51</v>
      </c>
      <c r="B70" s="14">
        <f t="shared" si="0"/>
        <v>7.6739381712109722</v>
      </c>
      <c r="C70" s="14">
        <f t="shared" si="1"/>
        <v>1.5732499999999998</v>
      </c>
      <c r="D70" s="14">
        <f t="shared" si="2"/>
        <v>6.1006881712109724</v>
      </c>
      <c r="E70" s="14">
        <f t="shared" si="3"/>
        <v>275.40239673175955</v>
      </c>
      <c r="F70" s="14">
        <f t="shared" si="4"/>
        <v>308.55</v>
      </c>
    </row>
    <row r="71" spans="1:6">
      <c r="A71" s="7">
        <f t="shared" si="5"/>
        <v>52</v>
      </c>
      <c r="B71" s="14">
        <f t="shared" si="0"/>
        <v>7.6739381712109722</v>
      </c>
      <c r="C71" s="14">
        <f t="shared" si="1"/>
        <v>1.5427500000000001</v>
      </c>
      <c r="D71" s="14">
        <f t="shared" si="2"/>
        <v>6.1311881712109724</v>
      </c>
      <c r="E71" s="14">
        <f t="shared" si="3"/>
        <v>281.53358490297052</v>
      </c>
      <c r="F71" s="14">
        <f t="shared" si="4"/>
        <v>302.42</v>
      </c>
    </row>
    <row r="72" spans="1:6">
      <c r="A72" s="7">
        <f t="shared" si="5"/>
        <v>53</v>
      </c>
      <c r="B72" s="14">
        <f t="shared" si="0"/>
        <v>7.6739381712109722</v>
      </c>
      <c r="C72" s="14">
        <f t="shared" si="1"/>
        <v>1.5121000000000002</v>
      </c>
      <c r="D72" s="14">
        <f t="shared" si="2"/>
        <v>6.161838171210972</v>
      </c>
      <c r="E72" s="14">
        <f t="shared" si="3"/>
        <v>287.69542307418146</v>
      </c>
      <c r="F72" s="14">
        <f t="shared" si="4"/>
        <v>296.25</v>
      </c>
    </row>
    <row r="73" spans="1:6">
      <c r="A73" s="7">
        <f t="shared" si="5"/>
        <v>54</v>
      </c>
      <c r="B73" s="14">
        <f t="shared" si="0"/>
        <v>7.6739381712109722</v>
      </c>
      <c r="C73" s="14">
        <f t="shared" si="1"/>
        <v>1.48125</v>
      </c>
      <c r="D73" s="14">
        <f t="shared" si="2"/>
        <v>6.192688171210972</v>
      </c>
      <c r="E73" s="14">
        <f t="shared" si="3"/>
        <v>293.88811124539245</v>
      </c>
      <c r="F73" s="14">
        <f t="shared" si="4"/>
        <v>290.06</v>
      </c>
    </row>
    <row r="74" spans="1:6">
      <c r="A74" s="7">
        <f t="shared" si="5"/>
        <v>55</v>
      </c>
      <c r="B74" s="14">
        <f t="shared" si="0"/>
        <v>7.6739381712109722</v>
      </c>
      <c r="C74" s="14">
        <f t="shared" si="1"/>
        <v>1.4503000000000001</v>
      </c>
      <c r="D74" s="14">
        <f t="shared" si="2"/>
        <v>6.2236381712109718</v>
      </c>
      <c r="E74" s="14">
        <f t="shared" si="3"/>
        <v>300.1117494166034</v>
      </c>
      <c r="F74" s="14">
        <f t="shared" si="4"/>
        <v>283.83999999999997</v>
      </c>
    </row>
    <row r="75" spans="1:6">
      <c r="A75" s="7">
        <f t="shared" si="5"/>
        <v>56</v>
      </c>
      <c r="B75" s="14">
        <f t="shared" si="0"/>
        <v>7.6739381712109722</v>
      </c>
      <c r="C75" s="14">
        <f t="shared" si="1"/>
        <v>1.4191999999999998</v>
      </c>
      <c r="D75" s="14">
        <f t="shared" si="2"/>
        <v>6.2547381712109722</v>
      </c>
      <c r="E75" s="14">
        <f t="shared" si="3"/>
        <v>306.36648758781439</v>
      </c>
      <c r="F75" s="14">
        <f t="shared" si="4"/>
        <v>277.58</v>
      </c>
    </row>
    <row r="76" spans="1:6">
      <c r="A76" s="7">
        <f t="shared" si="5"/>
        <v>57</v>
      </c>
      <c r="B76" s="14">
        <f t="shared" si="0"/>
        <v>7.6739381712109722</v>
      </c>
      <c r="C76" s="14">
        <f t="shared" si="1"/>
        <v>1.3878999999999999</v>
      </c>
      <c r="D76" s="14">
        <f t="shared" si="2"/>
        <v>6.2860381712109721</v>
      </c>
      <c r="E76" s="14">
        <f t="shared" si="3"/>
        <v>312.65252575902537</v>
      </c>
      <c r="F76" s="14">
        <f t="shared" si="4"/>
        <v>271.3</v>
      </c>
    </row>
    <row r="77" spans="1:6">
      <c r="A77" s="7">
        <f t="shared" si="5"/>
        <v>58</v>
      </c>
      <c r="B77" s="14">
        <f t="shared" si="0"/>
        <v>7.6739381712109722</v>
      </c>
      <c r="C77" s="14">
        <f t="shared" si="1"/>
        <v>1.3565</v>
      </c>
      <c r="D77" s="14">
        <f t="shared" si="2"/>
        <v>6.3174381712109717</v>
      </c>
      <c r="E77" s="14">
        <f t="shared" si="3"/>
        <v>318.96996393023636</v>
      </c>
      <c r="F77" s="14">
        <f t="shared" si="4"/>
        <v>264.98</v>
      </c>
    </row>
    <row r="78" spans="1:6">
      <c r="A78" s="7">
        <f t="shared" si="5"/>
        <v>59</v>
      </c>
      <c r="B78" s="14">
        <f t="shared" si="0"/>
        <v>7.6739381712109722</v>
      </c>
      <c r="C78" s="14">
        <f t="shared" si="1"/>
        <v>1.3249000000000002</v>
      </c>
      <c r="D78" s="14">
        <f t="shared" si="2"/>
        <v>6.3490381712109718</v>
      </c>
      <c r="E78" s="14">
        <f t="shared" si="3"/>
        <v>325.31900210144732</v>
      </c>
      <c r="F78" s="14">
        <f t="shared" si="4"/>
        <v>258.63</v>
      </c>
    </row>
    <row r="79" spans="1:6">
      <c r="A79" s="7">
        <f t="shared" si="5"/>
        <v>60</v>
      </c>
      <c r="B79" s="14">
        <f t="shared" si="0"/>
        <v>7.6739381712109722</v>
      </c>
      <c r="C79" s="14">
        <f t="shared" si="1"/>
        <v>1.29315</v>
      </c>
      <c r="D79" s="14">
        <f t="shared" si="2"/>
        <v>6.3807881712109724</v>
      </c>
      <c r="E79" s="14">
        <f t="shared" si="3"/>
        <v>331.69979027265828</v>
      </c>
      <c r="F79" s="14">
        <f t="shared" si="4"/>
        <v>252.25</v>
      </c>
    </row>
    <row r="80" spans="1:6">
      <c r="A80" s="7">
        <f t="shared" si="5"/>
        <v>61</v>
      </c>
      <c r="B80" s="14">
        <f t="shared" si="0"/>
        <v>7.6739381712109722</v>
      </c>
      <c r="C80" s="14">
        <f t="shared" si="1"/>
        <v>1.26125</v>
      </c>
      <c r="D80" s="14">
        <f t="shared" si="2"/>
        <v>6.4126881712109718</v>
      </c>
      <c r="E80" s="14">
        <f t="shared" si="3"/>
        <v>338.11247844386924</v>
      </c>
      <c r="F80" s="14">
        <f t="shared" si="4"/>
        <v>245.84</v>
      </c>
    </row>
    <row r="81" spans="1:6">
      <c r="A81" s="7">
        <f t="shared" si="5"/>
        <v>62</v>
      </c>
      <c r="B81" s="14">
        <f t="shared" si="0"/>
        <v>7.6739381712109722</v>
      </c>
      <c r="C81" s="14">
        <f t="shared" si="1"/>
        <v>1.2292000000000001</v>
      </c>
      <c r="D81" s="14">
        <f t="shared" si="2"/>
        <v>6.4447381712109717</v>
      </c>
      <c r="E81" s="14">
        <f t="shared" si="3"/>
        <v>344.55721661508022</v>
      </c>
      <c r="F81" s="14">
        <f t="shared" si="4"/>
        <v>239.39</v>
      </c>
    </row>
    <row r="82" spans="1:6">
      <c r="A82" s="7">
        <f t="shared" si="5"/>
        <v>63</v>
      </c>
      <c r="B82" s="14">
        <f t="shared" si="0"/>
        <v>7.6739381712109722</v>
      </c>
      <c r="C82" s="14">
        <f t="shared" si="1"/>
        <v>1.19695</v>
      </c>
      <c r="D82" s="14">
        <f t="shared" si="2"/>
        <v>6.476988171210972</v>
      </c>
      <c r="E82" s="14">
        <f t="shared" si="3"/>
        <v>351.03420478629118</v>
      </c>
      <c r="F82" s="14">
        <f t="shared" si="4"/>
        <v>232.92</v>
      </c>
    </row>
    <row r="83" spans="1:6">
      <c r="A83" s="7">
        <f t="shared" si="5"/>
        <v>64</v>
      </c>
      <c r="B83" s="14">
        <f t="shared" si="0"/>
        <v>7.6739381712109722</v>
      </c>
      <c r="C83" s="14">
        <f t="shared" si="1"/>
        <v>1.1645999999999999</v>
      </c>
      <c r="D83" s="14">
        <f t="shared" si="2"/>
        <v>6.5093381712109721</v>
      </c>
      <c r="E83" s="14">
        <f t="shared" si="3"/>
        <v>357.54354295750215</v>
      </c>
      <c r="F83" s="14">
        <f t="shared" si="4"/>
        <v>226.41</v>
      </c>
    </row>
    <row r="84" spans="1:6">
      <c r="A84" s="7">
        <f t="shared" si="5"/>
        <v>65</v>
      </c>
      <c r="B84" s="14">
        <f t="shared" ref="B84:B147" si="6">IF(A84&lt;=$E$9,C84+D84,"")</f>
        <v>7.6739381712109722</v>
      </c>
      <c r="C84" s="14">
        <f t="shared" ref="C84:C147" si="7">IF(A84&lt;=$E$9,F83*($E$8/$E$10),"")</f>
        <v>1.13205</v>
      </c>
      <c r="D84" s="14">
        <f t="shared" ref="D84:D147" si="8">IF(A84&lt;=$E$9,$E$13-C84,"")</f>
        <v>6.5418881712109727</v>
      </c>
      <c r="E84" s="14">
        <f t="shared" ref="E84:E147" si="9">IF(A84&lt;=$E$9,E83+D84,"")</f>
        <v>364.08543112871314</v>
      </c>
      <c r="F84" s="14">
        <f t="shared" ref="F84:F147" si="10">IF(A84&lt;=$E$9,ROUND(($F$19-E84),2),"")</f>
        <v>219.86</v>
      </c>
    </row>
    <row r="85" spans="1:6">
      <c r="A85" s="7">
        <f t="shared" ref="A85:A148" si="11">IF(A84&lt;$E$9,A84+1,"")</f>
        <v>66</v>
      </c>
      <c r="B85" s="14">
        <f t="shared" si="6"/>
        <v>7.6739381712109722</v>
      </c>
      <c r="C85" s="14">
        <f t="shared" si="7"/>
        <v>1.0993000000000002</v>
      </c>
      <c r="D85" s="14">
        <f t="shared" si="8"/>
        <v>6.5746381712109718</v>
      </c>
      <c r="E85" s="14">
        <f t="shared" si="9"/>
        <v>370.66006929992409</v>
      </c>
      <c r="F85" s="14">
        <f t="shared" si="10"/>
        <v>213.29</v>
      </c>
    </row>
    <row r="86" spans="1:6">
      <c r="A86" s="7">
        <f t="shared" si="11"/>
        <v>67</v>
      </c>
      <c r="B86" s="14">
        <f t="shared" si="6"/>
        <v>7.6739381712109722</v>
      </c>
      <c r="C86" s="14">
        <f t="shared" si="7"/>
        <v>1.0664499999999999</v>
      </c>
      <c r="D86" s="14">
        <f t="shared" si="8"/>
        <v>6.6074881712109725</v>
      </c>
      <c r="E86" s="14">
        <f t="shared" si="9"/>
        <v>377.26755747113504</v>
      </c>
      <c r="F86" s="14">
        <f t="shared" si="10"/>
        <v>206.68</v>
      </c>
    </row>
    <row r="87" spans="1:6">
      <c r="A87" s="7">
        <f t="shared" si="11"/>
        <v>68</v>
      </c>
      <c r="B87" s="14">
        <f t="shared" si="6"/>
        <v>7.6739381712109722</v>
      </c>
      <c r="C87" s="14">
        <f t="shared" si="7"/>
        <v>1.0334000000000001</v>
      </c>
      <c r="D87" s="14">
        <f t="shared" si="8"/>
        <v>6.6405381712109719</v>
      </c>
      <c r="E87" s="14">
        <f t="shared" si="9"/>
        <v>383.90809564234598</v>
      </c>
      <c r="F87" s="14">
        <f t="shared" si="10"/>
        <v>200.04</v>
      </c>
    </row>
    <row r="88" spans="1:6">
      <c r="A88" s="7">
        <f t="shared" si="11"/>
        <v>69</v>
      </c>
      <c r="B88" s="14">
        <f t="shared" si="6"/>
        <v>7.6739381712109722</v>
      </c>
      <c r="C88" s="14">
        <f t="shared" si="7"/>
        <v>1.0002</v>
      </c>
      <c r="D88" s="14">
        <f t="shared" si="8"/>
        <v>6.6737381712109727</v>
      </c>
      <c r="E88" s="14">
        <f t="shared" si="9"/>
        <v>390.58183381355695</v>
      </c>
      <c r="F88" s="14">
        <f t="shared" si="10"/>
        <v>193.37</v>
      </c>
    </row>
    <row r="89" spans="1:6">
      <c r="A89" s="7">
        <f t="shared" si="11"/>
        <v>70</v>
      </c>
      <c r="B89" s="14">
        <f t="shared" si="6"/>
        <v>7.6739381712109722</v>
      </c>
      <c r="C89" s="14">
        <f t="shared" si="7"/>
        <v>0.9668500000000001</v>
      </c>
      <c r="D89" s="14">
        <f t="shared" si="8"/>
        <v>6.7070881712109722</v>
      </c>
      <c r="E89" s="14">
        <f t="shared" si="9"/>
        <v>397.28892198476791</v>
      </c>
      <c r="F89" s="14">
        <f t="shared" si="10"/>
        <v>186.66</v>
      </c>
    </row>
    <row r="90" spans="1:6">
      <c r="A90" s="7">
        <f t="shared" si="11"/>
        <v>71</v>
      </c>
      <c r="B90" s="14">
        <f t="shared" si="6"/>
        <v>7.6739381712109722</v>
      </c>
      <c r="C90" s="14">
        <f t="shared" si="7"/>
        <v>0.93330000000000002</v>
      </c>
      <c r="D90" s="14">
        <f t="shared" si="8"/>
        <v>6.7406381712109722</v>
      </c>
      <c r="E90" s="14">
        <f t="shared" si="9"/>
        <v>404.02956015597886</v>
      </c>
      <c r="F90" s="14">
        <f t="shared" si="10"/>
        <v>179.92</v>
      </c>
    </row>
    <row r="91" spans="1:6">
      <c r="A91" s="7">
        <f t="shared" si="11"/>
        <v>72</v>
      </c>
      <c r="B91" s="14">
        <f t="shared" si="6"/>
        <v>7.6739381712109722</v>
      </c>
      <c r="C91" s="14">
        <f t="shared" si="7"/>
        <v>0.89959999999999996</v>
      </c>
      <c r="D91" s="14">
        <f t="shared" si="8"/>
        <v>6.7743381712109727</v>
      </c>
      <c r="E91" s="14">
        <f t="shared" si="9"/>
        <v>410.80389832718981</v>
      </c>
      <c r="F91" s="14">
        <f t="shared" si="10"/>
        <v>173.15</v>
      </c>
    </row>
    <row r="92" spans="1:6">
      <c r="A92" s="7">
        <f t="shared" si="11"/>
        <v>73</v>
      </c>
      <c r="B92" s="14">
        <f t="shared" si="6"/>
        <v>7.6739381712109722</v>
      </c>
      <c r="C92" s="14">
        <f t="shared" si="7"/>
        <v>0.86575000000000002</v>
      </c>
      <c r="D92" s="14">
        <f t="shared" si="8"/>
        <v>6.808188171210972</v>
      </c>
      <c r="E92" s="14">
        <f t="shared" si="9"/>
        <v>417.6120864984008</v>
      </c>
      <c r="F92" s="14">
        <f t="shared" si="10"/>
        <v>166.34</v>
      </c>
    </row>
    <row r="93" spans="1:6">
      <c r="A93" s="7">
        <f t="shared" si="11"/>
        <v>74</v>
      </c>
      <c r="B93" s="14">
        <f t="shared" si="6"/>
        <v>7.6739381712109722</v>
      </c>
      <c r="C93" s="14">
        <f t="shared" si="7"/>
        <v>0.83169999999999999</v>
      </c>
      <c r="D93" s="14">
        <f t="shared" si="8"/>
        <v>6.8422381712109726</v>
      </c>
      <c r="E93" s="14">
        <f t="shared" si="9"/>
        <v>424.45432466961176</v>
      </c>
      <c r="F93" s="14">
        <f t="shared" si="10"/>
        <v>159.5</v>
      </c>
    </row>
    <row r="94" spans="1:6">
      <c r="A94" s="7">
        <f t="shared" si="11"/>
        <v>75</v>
      </c>
      <c r="B94" s="14">
        <f t="shared" si="6"/>
        <v>7.6739381712109722</v>
      </c>
      <c r="C94" s="14">
        <f t="shared" si="7"/>
        <v>0.79749999999999999</v>
      </c>
      <c r="D94" s="14">
        <f t="shared" si="8"/>
        <v>6.8764381712109719</v>
      </c>
      <c r="E94" s="14">
        <f t="shared" si="9"/>
        <v>431.33076284082273</v>
      </c>
      <c r="F94" s="14">
        <f t="shared" si="10"/>
        <v>152.62</v>
      </c>
    </row>
    <row r="95" spans="1:6">
      <c r="A95" s="7">
        <f t="shared" si="11"/>
        <v>76</v>
      </c>
      <c r="B95" s="14">
        <f t="shared" si="6"/>
        <v>7.6739381712109722</v>
      </c>
      <c r="C95" s="14">
        <f t="shared" si="7"/>
        <v>0.7631</v>
      </c>
      <c r="D95" s="14">
        <f t="shared" si="8"/>
        <v>6.9108381712109725</v>
      </c>
      <c r="E95" s="14">
        <f t="shared" si="9"/>
        <v>438.2416010120337</v>
      </c>
      <c r="F95" s="14">
        <f t="shared" si="10"/>
        <v>145.71</v>
      </c>
    </row>
    <row r="96" spans="1:6">
      <c r="A96" s="7">
        <f t="shared" si="11"/>
        <v>77</v>
      </c>
      <c r="B96" s="14">
        <f t="shared" si="6"/>
        <v>7.6739381712109722</v>
      </c>
      <c r="C96" s="14">
        <f t="shared" si="7"/>
        <v>0.72855000000000003</v>
      </c>
      <c r="D96" s="14">
        <f t="shared" si="8"/>
        <v>6.945388171210972</v>
      </c>
      <c r="E96" s="14">
        <f t="shared" si="9"/>
        <v>445.18698918324469</v>
      </c>
      <c r="F96" s="14">
        <f t="shared" si="10"/>
        <v>138.76</v>
      </c>
    </row>
    <row r="97" spans="1:6">
      <c r="A97" s="7">
        <f t="shared" si="11"/>
        <v>78</v>
      </c>
      <c r="B97" s="14">
        <f t="shared" si="6"/>
        <v>7.6739381712109722</v>
      </c>
      <c r="C97" s="14">
        <f t="shared" si="7"/>
        <v>0.69379999999999997</v>
      </c>
      <c r="D97" s="14">
        <f t="shared" si="8"/>
        <v>6.9801381712109727</v>
      </c>
      <c r="E97" s="14">
        <f t="shared" si="9"/>
        <v>452.16712735445566</v>
      </c>
      <c r="F97" s="14">
        <f t="shared" si="10"/>
        <v>131.78</v>
      </c>
    </row>
    <row r="98" spans="1:6">
      <c r="A98" s="7">
        <f t="shared" si="11"/>
        <v>79</v>
      </c>
      <c r="B98" s="14">
        <f t="shared" si="6"/>
        <v>7.6739381712109722</v>
      </c>
      <c r="C98" s="14">
        <f t="shared" si="7"/>
        <v>0.65890000000000004</v>
      </c>
      <c r="D98" s="14">
        <f t="shared" si="8"/>
        <v>7.0150381712109722</v>
      </c>
      <c r="E98" s="14">
        <f t="shared" si="9"/>
        <v>459.18216552566662</v>
      </c>
      <c r="F98" s="14">
        <f t="shared" si="10"/>
        <v>124.77</v>
      </c>
    </row>
    <row r="99" spans="1:6">
      <c r="A99" s="7">
        <f t="shared" si="11"/>
        <v>80</v>
      </c>
      <c r="B99" s="14">
        <f t="shared" si="6"/>
        <v>7.6739381712109722</v>
      </c>
      <c r="C99" s="14">
        <f t="shared" si="7"/>
        <v>0.62385000000000002</v>
      </c>
      <c r="D99" s="14">
        <f t="shared" si="8"/>
        <v>7.0500881712109722</v>
      </c>
      <c r="E99" s="14">
        <f t="shared" si="9"/>
        <v>466.23225369687759</v>
      </c>
      <c r="F99" s="14">
        <f t="shared" si="10"/>
        <v>117.72</v>
      </c>
    </row>
    <row r="100" spans="1:6">
      <c r="A100" s="7">
        <f t="shared" si="11"/>
        <v>81</v>
      </c>
      <c r="B100" s="14">
        <f t="shared" si="6"/>
        <v>7.6739381712109722</v>
      </c>
      <c r="C100" s="14">
        <f t="shared" si="7"/>
        <v>0.58860000000000001</v>
      </c>
      <c r="D100" s="14">
        <f t="shared" si="8"/>
        <v>7.0853381712109726</v>
      </c>
      <c r="E100" s="14">
        <f t="shared" si="9"/>
        <v>473.31759186808858</v>
      </c>
      <c r="F100" s="14">
        <f t="shared" si="10"/>
        <v>110.63</v>
      </c>
    </row>
    <row r="101" spans="1:6">
      <c r="A101" s="7">
        <f t="shared" si="11"/>
        <v>82</v>
      </c>
      <c r="B101" s="14">
        <f t="shared" si="6"/>
        <v>7.6739381712109722</v>
      </c>
      <c r="C101" s="14">
        <f t="shared" si="7"/>
        <v>0.55315000000000003</v>
      </c>
      <c r="D101" s="14">
        <f t="shared" si="8"/>
        <v>7.1207881712109717</v>
      </c>
      <c r="E101" s="14">
        <f t="shared" si="9"/>
        <v>480.43838003929955</v>
      </c>
      <c r="F101" s="14">
        <f t="shared" si="10"/>
        <v>103.51</v>
      </c>
    </row>
    <row r="102" spans="1:6">
      <c r="A102" s="7">
        <f t="shared" si="11"/>
        <v>83</v>
      </c>
      <c r="B102" s="14">
        <f t="shared" si="6"/>
        <v>7.6739381712109722</v>
      </c>
      <c r="C102" s="14">
        <f t="shared" si="7"/>
        <v>0.51755000000000007</v>
      </c>
      <c r="D102" s="14">
        <f t="shared" si="8"/>
        <v>7.1563881712109723</v>
      </c>
      <c r="E102" s="14">
        <f t="shared" si="9"/>
        <v>487.59476821051049</v>
      </c>
      <c r="F102" s="14">
        <f t="shared" si="10"/>
        <v>96.36</v>
      </c>
    </row>
    <row r="103" spans="1:6">
      <c r="A103" s="7">
        <f t="shared" si="11"/>
        <v>84</v>
      </c>
      <c r="B103" s="14">
        <f t="shared" si="6"/>
        <v>7.6739381712109722</v>
      </c>
      <c r="C103" s="14">
        <f t="shared" si="7"/>
        <v>0.48180000000000001</v>
      </c>
      <c r="D103" s="14">
        <f t="shared" si="8"/>
        <v>7.1921381712109724</v>
      </c>
      <c r="E103" s="14">
        <f t="shared" si="9"/>
        <v>494.78690638172145</v>
      </c>
      <c r="F103" s="14">
        <f t="shared" si="10"/>
        <v>89.16</v>
      </c>
    </row>
    <row r="104" spans="1:6">
      <c r="A104" s="7">
        <f t="shared" si="11"/>
        <v>85</v>
      </c>
      <c r="B104" s="14">
        <f t="shared" si="6"/>
        <v>7.6739381712109722</v>
      </c>
      <c r="C104" s="14">
        <f t="shared" si="7"/>
        <v>0.44579999999999997</v>
      </c>
      <c r="D104" s="14">
        <f t="shared" si="8"/>
        <v>7.228138171210972</v>
      </c>
      <c r="E104" s="14">
        <f t="shared" si="9"/>
        <v>502.01504455293241</v>
      </c>
      <c r="F104" s="14">
        <f t="shared" si="10"/>
        <v>81.93</v>
      </c>
    </row>
    <row r="105" spans="1:6">
      <c r="A105" s="7">
        <f t="shared" si="11"/>
        <v>86</v>
      </c>
      <c r="B105" s="14">
        <f t="shared" si="6"/>
        <v>7.6739381712109722</v>
      </c>
      <c r="C105" s="14">
        <f t="shared" si="7"/>
        <v>0.40965000000000007</v>
      </c>
      <c r="D105" s="14">
        <f t="shared" si="8"/>
        <v>7.2642881712109721</v>
      </c>
      <c r="E105" s="14">
        <f t="shared" si="9"/>
        <v>509.27933272414339</v>
      </c>
      <c r="F105" s="14">
        <f t="shared" si="10"/>
        <v>74.67</v>
      </c>
    </row>
    <row r="106" spans="1:6">
      <c r="A106" s="7">
        <f t="shared" si="11"/>
        <v>87</v>
      </c>
      <c r="B106" s="14">
        <f t="shared" si="6"/>
        <v>7.6739381712109722</v>
      </c>
      <c r="C106" s="14">
        <f t="shared" si="7"/>
        <v>0.37335000000000002</v>
      </c>
      <c r="D106" s="14">
        <f t="shared" si="8"/>
        <v>7.3005881712109719</v>
      </c>
      <c r="E106" s="14">
        <f t="shared" si="9"/>
        <v>516.57992089535435</v>
      </c>
      <c r="F106" s="14">
        <f t="shared" si="10"/>
        <v>67.37</v>
      </c>
    </row>
    <row r="107" spans="1:6">
      <c r="A107" s="7">
        <f t="shared" si="11"/>
        <v>88</v>
      </c>
      <c r="B107" s="14">
        <f t="shared" si="6"/>
        <v>7.6739381712109722</v>
      </c>
      <c r="C107" s="14">
        <f t="shared" si="7"/>
        <v>0.33685000000000004</v>
      </c>
      <c r="D107" s="14">
        <f t="shared" si="8"/>
        <v>7.3370881712109721</v>
      </c>
      <c r="E107" s="14">
        <f t="shared" si="9"/>
        <v>523.91700906656536</v>
      </c>
      <c r="F107" s="14">
        <f t="shared" si="10"/>
        <v>60.03</v>
      </c>
    </row>
    <row r="108" spans="1:6">
      <c r="A108" s="7">
        <f t="shared" si="11"/>
        <v>89</v>
      </c>
      <c r="B108" s="14">
        <f t="shared" si="6"/>
        <v>7.6739381712109722</v>
      </c>
      <c r="C108" s="14">
        <f t="shared" si="7"/>
        <v>0.30015000000000003</v>
      </c>
      <c r="D108" s="14">
        <f t="shared" si="8"/>
        <v>7.3737881712109719</v>
      </c>
      <c r="E108" s="14">
        <f t="shared" si="9"/>
        <v>531.29079723777636</v>
      </c>
      <c r="F108" s="14">
        <f t="shared" si="10"/>
        <v>52.66</v>
      </c>
    </row>
    <row r="109" spans="1:6">
      <c r="A109" s="7">
        <f t="shared" si="11"/>
        <v>90</v>
      </c>
      <c r="B109" s="14">
        <f t="shared" si="6"/>
        <v>7.6739381712109722</v>
      </c>
      <c r="C109" s="14">
        <f t="shared" si="7"/>
        <v>0.26329999999999998</v>
      </c>
      <c r="D109" s="14">
        <f t="shared" si="8"/>
        <v>7.4106381712109721</v>
      </c>
      <c r="E109" s="14">
        <f t="shared" si="9"/>
        <v>538.70143540898732</v>
      </c>
      <c r="F109" s="14">
        <f t="shared" si="10"/>
        <v>45.25</v>
      </c>
    </row>
    <row r="110" spans="1:6">
      <c r="A110" s="7">
        <f t="shared" si="11"/>
        <v>91</v>
      </c>
      <c r="B110" s="14">
        <f t="shared" si="6"/>
        <v>7.6739381712109722</v>
      </c>
      <c r="C110" s="14">
        <f t="shared" si="7"/>
        <v>0.22625000000000001</v>
      </c>
      <c r="D110" s="14">
        <f t="shared" si="8"/>
        <v>7.4476881712109719</v>
      </c>
      <c r="E110" s="14">
        <f t="shared" si="9"/>
        <v>546.14912358019831</v>
      </c>
      <c r="F110" s="14">
        <f t="shared" si="10"/>
        <v>37.799999999999997</v>
      </c>
    </row>
    <row r="111" spans="1:6">
      <c r="A111" s="7">
        <f t="shared" si="11"/>
        <v>92</v>
      </c>
      <c r="B111" s="14">
        <f t="shared" si="6"/>
        <v>7.6739381712109722</v>
      </c>
      <c r="C111" s="14">
        <f t="shared" si="7"/>
        <v>0.189</v>
      </c>
      <c r="D111" s="14">
        <f t="shared" si="8"/>
        <v>7.4849381712109722</v>
      </c>
      <c r="E111" s="14">
        <f t="shared" si="9"/>
        <v>553.63406175140926</v>
      </c>
      <c r="F111" s="14">
        <f t="shared" si="10"/>
        <v>30.32</v>
      </c>
    </row>
    <row r="112" spans="1:6">
      <c r="A112" s="7">
        <f t="shared" si="11"/>
        <v>93</v>
      </c>
      <c r="B112" s="14">
        <f t="shared" si="6"/>
        <v>7.6739381712109722</v>
      </c>
      <c r="C112" s="14">
        <f t="shared" si="7"/>
        <v>0.15160000000000001</v>
      </c>
      <c r="D112" s="14">
        <f t="shared" si="8"/>
        <v>7.522338171210972</v>
      </c>
      <c r="E112" s="14">
        <f t="shared" si="9"/>
        <v>561.15639992262027</v>
      </c>
      <c r="F112" s="14">
        <f t="shared" si="10"/>
        <v>22.79</v>
      </c>
    </row>
    <row r="113" spans="1:6">
      <c r="A113" s="7">
        <f t="shared" si="11"/>
        <v>94</v>
      </c>
      <c r="B113" s="14">
        <f t="shared" si="6"/>
        <v>7.6739381712109722</v>
      </c>
      <c r="C113" s="14">
        <f t="shared" si="7"/>
        <v>0.11395</v>
      </c>
      <c r="D113" s="14">
        <f t="shared" si="8"/>
        <v>7.5599881712109722</v>
      </c>
      <c r="E113" s="14">
        <f t="shared" si="9"/>
        <v>568.71638809383126</v>
      </c>
      <c r="F113" s="14">
        <f t="shared" si="10"/>
        <v>15.23</v>
      </c>
    </row>
    <row r="114" spans="1:6">
      <c r="A114" s="7">
        <f t="shared" si="11"/>
        <v>95</v>
      </c>
      <c r="B114" s="14">
        <f t="shared" si="6"/>
        <v>7.6739381712109722</v>
      </c>
      <c r="C114" s="14">
        <f t="shared" si="7"/>
        <v>7.6150000000000009E-2</v>
      </c>
      <c r="D114" s="14">
        <f t="shared" si="8"/>
        <v>7.5977881712109721</v>
      </c>
      <c r="E114" s="14">
        <f t="shared" si="9"/>
        <v>576.31417626504219</v>
      </c>
      <c r="F114" s="14">
        <f t="shared" si="10"/>
        <v>7.64</v>
      </c>
    </row>
    <row r="115" spans="1:6">
      <c r="A115" s="7">
        <f t="shared" si="11"/>
        <v>96</v>
      </c>
      <c r="B115" s="14">
        <f t="shared" si="6"/>
        <v>7.6739381712109722</v>
      </c>
      <c r="C115" s="14">
        <f t="shared" si="7"/>
        <v>3.8199999999999998E-2</v>
      </c>
      <c r="D115" s="14">
        <f t="shared" si="8"/>
        <v>7.6357381712109724</v>
      </c>
      <c r="E115" s="14">
        <f t="shared" si="9"/>
        <v>583.94991443625315</v>
      </c>
      <c r="F115" s="14">
        <f t="shared" si="10"/>
        <v>0</v>
      </c>
    </row>
    <row r="116" spans="1:6">
      <c r="A116" s="7" t="str">
        <f t="shared" si="11"/>
        <v/>
      </c>
      <c r="B116" s="14" t="str">
        <f t="shared" si="6"/>
        <v/>
      </c>
      <c r="C116" s="14" t="str">
        <f t="shared" si="7"/>
        <v/>
      </c>
      <c r="D116" s="14" t="str">
        <f t="shared" si="8"/>
        <v/>
      </c>
      <c r="E116" s="14" t="str">
        <f t="shared" si="9"/>
        <v/>
      </c>
      <c r="F116" s="14" t="str">
        <f t="shared" si="10"/>
        <v/>
      </c>
    </row>
    <row r="117" spans="1:6">
      <c r="A117" s="7" t="str">
        <f t="shared" si="11"/>
        <v/>
      </c>
      <c r="B117" s="14" t="str">
        <f t="shared" si="6"/>
        <v/>
      </c>
      <c r="C117" s="14" t="str">
        <f t="shared" si="7"/>
        <v/>
      </c>
      <c r="D117" s="14" t="str">
        <f t="shared" si="8"/>
        <v/>
      </c>
      <c r="E117" s="14" t="str">
        <f t="shared" si="9"/>
        <v/>
      </c>
      <c r="F117" s="14" t="str">
        <f t="shared" si="10"/>
        <v/>
      </c>
    </row>
    <row r="118" spans="1:6">
      <c r="A118" s="7" t="str">
        <f t="shared" si="11"/>
        <v/>
      </c>
      <c r="B118" s="14" t="str">
        <f t="shared" si="6"/>
        <v/>
      </c>
      <c r="C118" s="14" t="str">
        <f t="shared" si="7"/>
        <v/>
      </c>
      <c r="D118" s="14" t="str">
        <f t="shared" si="8"/>
        <v/>
      </c>
      <c r="E118" s="14" t="str">
        <f t="shared" si="9"/>
        <v/>
      </c>
      <c r="F118" s="14" t="str">
        <f t="shared" si="10"/>
        <v/>
      </c>
    </row>
    <row r="119" spans="1:6">
      <c r="A119" s="7" t="str">
        <f t="shared" si="11"/>
        <v/>
      </c>
      <c r="B119" s="14" t="str">
        <f t="shared" si="6"/>
        <v/>
      </c>
      <c r="C119" s="14" t="str">
        <f t="shared" si="7"/>
        <v/>
      </c>
      <c r="D119" s="14" t="str">
        <f t="shared" si="8"/>
        <v/>
      </c>
      <c r="E119" s="14" t="str">
        <f t="shared" si="9"/>
        <v/>
      </c>
      <c r="F119" s="14" t="str">
        <f t="shared" si="10"/>
        <v/>
      </c>
    </row>
    <row r="120" spans="1:6">
      <c r="A120" s="7" t="str">
        <f t="shared" si="11"/>
        <v/>
      </c>
      <c r="B120" s="14" t="str">
        <f t="shared" si="6"/>
        <v/>
      </c>
      <c r="C120" s="14" t="str">
        <f t="shared" si="7"/>
        <v/>
      </c>
      <c r="D120" s="14" t="str">
        <f t="shared" si="8"/>
        <v/>
      </c>
      <c r="E120" s="14" t="str">
        <f t="shared" si="9"/>
        <v/>
      </c>
      <c r="F120" s="14" t="str">
        <f t="shared" si="10"/>
        <v/>
      </c>
    </row>
    <row r="121" spans="1:6">
      <c r="A121" s="7" t="str">
        <f t="shared" si="11"/>
        <v/>
      </c>
      <c r="B121" s="14" t="str">
        <f t="shared" si="6"/>
        <v/>
      </c>
      <c r="C121" s="14" t="str">
        <f t="shared" si="7"/>
        <v/>
      </c>
      <c r="D121" s="14" t="str">
        <f t="shared" si="8"/>
        <v/>
      </c>
      <c r="E121" s="14" t="str">
        <f t="shared" si="9"/>
        <v/>
      </c>
      <c r="F121" s="14" t="str">
        <f t="shared" si="10"/>
        <v/>
      </c>
    </row>
    <row r="122" spans="1:6">
      <c r="A122" s="7" t="str">
        <f t="shared" si="11"/>
        <v/>
      </c>
      <c r="B122" s="14" t="str">
        <f t="shared" si="6"/>
        <v/>
      </c>
      <c r="C122" s="14" t="str">
        <f t="shared" si="7"/>
        <v/>
      </c>
      <c r="D122" s="14" t="str">
        <f t="shared" si="8"/>
        <v/>
      </c>
      <c r="E122" s="14" t="str">
        <f t="shared" si="9"/>
        <v/>
      </c>
      <c r="F122" s="14" t="str">
        <f t="shared" si="10"/>
        <v/>
      </c>
    </row>
    <row r="123" spans="1:6">
      <c r="A123" s="7" t="str">
        <f t="shared" si="11"/>
        <v/>
      </c>
      <c r="B123" s="14" t="str">
        <f t="shared" si="6"/>
        <v/>
      </c>
      <c r="C123" s="14" t="str">
        <f t="shared" si="7"/>
        <v/>
      </c>
      <c r="D123" s="14" t="str">
        <f t="shared" si="8"/>
        <v/>
      </c>
      <c r="E123" s="14" t="str">
        <f t="shared" si="9"/>
        <v/>
      </c>
      <c r="F123" s="14" t="str">
        <f t="shared" si="10"/>
        <v/>
      </c>
    </row>
    <row r="124" spans="1:6">
      <c r="A124" s="7" t="str">
        <f t="shared" si="11"/>
        <v/>
      </c>
      <c r="B124" s="14" t="str">
        <f t="shared" si="6"/>
        <v/>
      </c>
      <c r="C124" s="14" t="str">
        <f t="shared" si="7"/>
        <v/>
      </c>
      <c r="D124" s="14" t="str">
        <f t="shared" si="8"/>
        <v/>
      </c>
      <c r="E124" s="14" t="str">
        <f t="shared" si="9"/>
        <v/>
      </c>
      <c r="F124" s="14" t="str">
        <f t="shared" si="10"/>
        <v/>
      </c>
    </row>
    <row r="125" spans="1:6">
      <c r="A125" s="7" t="str">
        <f t="shared" si="11"/>
        <v/>
      </c>
      <c r="B125" s="14" t="str">
        <f t="shared" si="6"/>
        <v/>
      </c>
      <c r="C125" s="14" t="str">
        <f t="shared" si="7"/>
        <v/>
      </c>
      <c r="D125" s="14" t="str">
        <f t="shared" si="8"/>
        <v/>
      </c>
      <c r="E125" s="14" t="str">
        <f t="shared" si="9"/>
        <v/>
      </c>
      <c r="F125" s="14" t="str">
        <f t="shared" si="10"/>
        <v/>
      </c>
    </row>
    <row r="126" spans="1:6">
      <c r="A126" s="7" t="str">
        <f t="shared" si="11"/>
        <v/>
      </c>
      <c r="B126" s="14" t="str">
        <f t="shared" si="6"/>
        <v/>
      </c>
      <c r="C126" s="14" t="str">
        <f t="shared" si="7"/>
        <v/>
      </c>
      <c r="D126" s="14" t="str">
        <f t="shared" si="8"/>
        <v/>
      </c>
      <c r="E126" s="14" t="str">
        <f t="shared" si="9"/>
        <v/>
      </c>
      <c r="F126" s="14" t="str">
        <f t="shared" si="10"/>
        <v/>
      </c>
    </row>
    <row r="127" spans="1:6">
      <c r="A127" s="7" t="str">
        <f t="shared" si="11"/>
        <v/>
      </c>
      <c r="B127" s="14" t="str">
        <f t="shared" si="6"/>
        <v/>
      </c>
      <c r="C127" s="14" t="str">
        <f t="shared" si="7"/>
        <v/>
      </c>
      <c r="D127" s="14" t="str">
        <f t="shared" si="8"/>
        <v/>
      </c>
      <c r="E127" s="14" t="str">
        <f t="shared" si="9"/>
        <v/>
      </c>
      <c r="F127" s="14" t="str">
        <f t="shared" si="10"/>
        <v/>
      </c>
    </row>
    <row r="128" spans="1:6">
      <c r="A128" s="7" t="str">
        <f t="shared" si="11"/>
        <v/>
      </c>
      <c r="B128" s="14" t="str">
        <f t="shared" si="6"/>
        <v/>
      </c>
      <c r="C128" s="14" t="str">
        <f t="shared" si="7"/>
        <v/>
      </c>
      <c r="D128" s="14" t="str">
        <f t="shared" si="8"/>
        <v/>
      </c>
      <c r="E128" s="14" t="str">
        <f t="shared" si="9"/>
        <v/>
      </c>
      <c r="F128" s="14" t="str">
        <f t="shared" si="10"/>
        <v/>
      </c>
    </row>
    <row r="129" spans="1:6">
      <c r="A129" s="7" t="str">
        <f t="shared" si="11"/>
        <v/>
      </c>
      <c r="B129" s="14" t="str">
        <f t="shared" si="6"/>
        <v/>
      </c>
      <c r="C129" s="14" t="str">
        <f t="shared" si="7"/>
        <v/>
      </c>
      <c r="D129" s="14" t="str">
        <f t="shared" si="8"/>
        <v/>
      </c>
      <c r="E129" s="14" t="str">
        <f t="shared" si="9"/>
        <v/>
      </c>
      <c r="F129" s="14" t="str">
        <f t="shared" si="10"/>
        <v/>
      </c>
    </row>
    <row r="130" spans="1:6">
      <c r="A130" s="7" t="str">
        <f t="shared" si="11"/>
        <v/>
      </c>
      <c r="B130" s="14" t="str">
        <f t="shared" si="6"/>
        <v/>
      </c>
      <c r="C130" s="14" t="str">
        <f t="shared" si="7"/>
        <v/>
      </c>
      <c r="D130" s="14" t="str">
        <f t="shared" si="8"/>
        <v/>
      </c>
      <c r="E130" s="14" t="str">
        <f t="shared" si="9"/>
        <v/>
      </c>
      <c r="F130" s="14" t="str">
        <f t="shared" si="10"/>
        <v/>
      </c>
    </row>
    <row r="131" spans="1:6">
      <c r="A131" s="7" t="str">
        <f t="shared" si="11"/>
        <v/>
      </c>
      <c r="B131" s="14" t="str">
        <f t="shared" si="6"/>
        <v/>
      </c>
      <c r="C131" s="14" t="str">
        <f t="shared" si="7"/>
        <v/>
      </c>
      <c r="D131" s="14" t="str">
        <f t="shared" si="8"/>
        <v/>
      </c>
      <c r="E131" s="14" t="str">
        <f t="shared" si="9"/>
        <v/>
      </c>
      <c r="F131" s="14" t="str">
        <f t="shared" si="10"/>
        <v/>
      </c>
    </row>
    <row r="132" spans="1:6">
      <c r="A132" s="7" t="str">
        <f t="shared" si="11"/>
        <v/>
      </c>
      <c r="B132" s="14" t="str">
        <f t="shared" si="6"/>
        <v/>
      </c>
      <c r="C132" s="14" t="str">
        <f t="shared" si="7"/>
        <v/>
      </c>
      <c r="D132" s="14" t="str">
        <f t="shared" si="8"/>
        <v/>
      </c>
      <c r="E132" s="14" t="str">
        <f t="shared" si="9"/>
        <v/>
      </c>
      <c r="F132" s="14" t="str">
        <f t="shared" si="10"/>
        <v/>
      </c>
    </row>
    <row r="133" spans="1:6">
      <c r="A133" s="7" t="str">
        <f t="shared" si="11"/>
        <v/>
      </c>
      <c r="B133" s="14" t="str">
        <f t="shared" si="6"/>
        <v/>
      </c>
      <c r="C133" s="14" t="str">
        <f t="shared" si="7"/>
        <v/>
      </c>
      <c r="D133" s="14" t="str">
        <f t="shared" si="8"/>
        <v/>
      </c>
      <c r="E133" s="14" t="str">
        <f t="shared" si="9"/>
        <v/>
      </c>
      <c r="F133" s="14" t="str">
        <f t="shared" si="10"/>
        <v/>
      </c>
    </row>
    <row r="134" spans="1:6">
      <c r="A134" s="7" t="str">
        <f t="shared" si="11"/>
        <v/>
      </c>
      <c r="B134" s="14" t="str">
        <f t="shared" si="6"/>
        <v/>
      </c>
      <c r="C134" s="14" t="str">
        <f t="shared" si="7"/>
        <v/>
      </c>
      <c r="D134" s="14" t="str">
        <f t="shared" si="8"/>
        <v/>
      </c>
      <c r="E134" s="14" t="str">
        <f t="shared" si="9"/>
        <v/>
      </c>
      <c r="F134" s="14" t="str">
        <f t="shared" si="10"/>
        <v/>
      </c>
    </row>
    <row r="135" spans="1:6">
      <c r="A135" s="7" t="str">
        <f t="shared" si="11"/>
        <v/>
      </c>
      <c r="B135" s="14" t="str">
        <f t="shared" si="6"/>
        <v/>
      </c>
      <c r="C135" s="14" t="str">
        <f t="shared" si="7"/>
        <v/>
      </c>
      <c r="D135" s="14" t="str">
        <f t="shared" si="8"/>
        <v/>
      </c>
      <c r="E135" s="14" t="str">
        <f t="shared" si="9"/>
        <v/>
      </c>
      <c r="F135" s="14" t="str">
        <f t="shared" si="10"/>
        <v/>
      </c>
    </row>
    <row r="136" spans="1:6">
      <c r="A136" s="7" t="str">
        <f t="shared" si="11"/>
        <v/>
      </c>
      <c r="B136" s="14" t="str">
        <f t="shared" si="6"/>
        <v/>
      </c>
      <c r="C136" s="14" t="str">
        <f t="shared" si="7"/>
        <v/>
      </c>
      <c r="D136" s="14" t="str">
        <f t="shared" si="8"/>
        <v/>
      </c>
      <c r="E136" s="14" t="str">
        <f t="shared" si="9"/>
        <v/>
      </c>
      <c r="F136" s="14" t="str">
        <f t="shared" si="10"/>
        <v/>
      </c>
    </row>
    <row r="137" spans="1:6">
      <c r="A137" s="7" t="str">
        <f t="shared" si="11"/>
        <v/>
      </c>
      <c r="B137" s="14" t="str">
        <f t="shared" si="6"/>
        <v/>
      </c>
      <c r="C137" s="14" t="str">
        <f t="shared" si="7"/>
        <v/>
      </c>
      <c r="D137" s="14" t="str">
        <f t="shared" si="8"/>
        <v/>
      </c>
      <c r="E137" s="14" t="str">
        <f t="shared" si="9"/>
        <v/>
      </c>
      <c r="F137" s="14" t="str">
        <f t="shared" si="10"/>
        <v/>
      </c>
    </row>
    <row r="138" spans="1:6">
      <c r="A138" s="7" t="str">
        <f t="shared" si="11"/>
        <v/>
      </c>
      <c r="B138" s="14" t="str">
        <f t="shared" si="6"/>
        <v/>
      </c>
      <c r="C138" s="14" t="str">
        <f t="shared" si="7"/>
        <v/>
      </c>
      <c r="D138" s="14" t="str">
        <f t="shared" si="8"/>
        <v/>
      </c>
      <c r="E138" s="14" t="str">
        <f t="shared" si="9"/>
        <v/>
      </c>
      <c r="F138" s="14" t="str">
        <f t="shared" si="10"/>
        <v/>
      </c>
    </row>
    <row r="139" spans="1:6">
      <c r="A139" s="7" t="str">
        <f t="shared" si="11"/>
        <v/>
      </c>
      <c r="B139" s="14" t="str">
        <f t="shared" si="6"/>
        <v/>
      </c>
      <c r="C139" s="14" t="str">
        <f t="shared" si="7"/>
        <v/>
      </c>
      <c r="D139" s="14" t="str">
        <f t="shared" si="8"/>
        <v/>
      </c>
      <c r="E139" s="14" t="str">
        <f t="shared" si="9"/>
        <v/>
      </c>
      <c r="F139" s="14" t="str">
        <f t="shared" si="10"/>
        <v/>
      </c>
    </row>
    <row r="140" spans="1:6">
      <c r="A140" s="7" t="str">
        <f t="shared" si="11"/>
        <v/>
      </c>
      <c r="B140" s="14" t="str">
        <f t="shared" si="6"/>
        <v/>
      </c>
      <c r="C140" s="14" t="str">
        <f t="shared" si="7"/>
        <v/>
      </c>
      <c r="D140" s="14" t="str">
        <f t="shared" si="8"/>
        <v/>
      </c>
      <c r="E140" s="14" t="str">
        <f t="shared" si="9"/>
        <v/>
      </c>
      <c r="F140" s="14" t="str">
        <f t="shared" si="10"/>
        <v/>
      </c>
    </row>
    <row r="141" spans="1:6">
      <c r="A141" s="7" t="str">
        <f t="shared" si="11"/>
        <v/>
      </c>
      <c r="B141" s="14" t="str">
        <f t="shared" si="6"/>
        <v/>
      </c>
      <c r="C141" s="14" t="str">
        <f t="shared" si="7"/>
        <v/>
      </c>
      <c r="D141" s="14" t="str">
        <f t="shared" si="8"/>
        <v/>
      </c>
      <c r="E141" s="14" t="str">
        <f t="shared" si="9"/>
        <v/>
      </c>
      <c r="F141" s="14" t="str">
        <f t="shared" si="10"/>
        <v/>
      </c>
    </row>
    <row r="142" spans="1:6">
      <c r="A142" s="7" t="str">
        <f t="shared" si="11"/>
        <v/>
      </c>
      <c r="B142" s="14" t="str">
        <f t="shared" si="6"/>
        <v/>
      </c>
      <c r="C142" s="14" t="str">
        <f t="shared" si="7"/>
        <v/>
      </c>
      <c r="D142" s="14" t="str">
        <f t="shared" si="8"/>
        <v/>
      </c>
      <c r="E142" s="14" t="str">
        <f t="shared" si="9"/>
        <v/>
      </c>
      <c r="F142" s="14" t="str">
        <f t="shared" si="10"/>
        <v/>
      </c>
    </row>
    <row r="143" spans="1:6">
      <c r="A143" s="7" t="str">
        <f t="shared" si="11"/>
        <v/>
      </c>
      <c r="B143" s="14" t="str">
        <f t="shared" si="6"/>
        <v/>
      </c>
      <c r="C143" s="14" t="str">
        <f t="shared" si="7"/>
        <v/>
      </c>
      <c r="D143" s="14" t="str">
        <f t="shared" si="8"/>
        <v/>
      </c>
      <c r="E143" s="14" t="str">
        <f t="shared" si="9"/>
        <v/>
      </c>
      <c r="F143" s="14" t="str">
        <f t="shared" si="10"/>
        <v/>
      </c>
    </row>
    <row r="144" spans="1:6">
      <c r="A144" s="7" t="str">
        <f t="shared" si="11"/>
        <v/>
      </c>
      <c r="B144" s="14" t="str">
        <f t="shared" si="6"/>
        <v/>
      </c>
      <c r="C144" s="14" t="str">
        <f t="shared" si="7"/>
        <v/>
      </c>
      <c r="D144" s="14" t="str">
        <f t="shared" si="8"/>
        <v/>
      </c>
      <c r="E144" s="14" t="str">
        <f t="shared" si="9"/>
        <v/>
      </c>
      <c r="F144" s="14" t="str">
        <f t="shared" si="10"/>
        <v/>
      </c>
    </row>
    <row r="145" spans="1:6">
      <c r="A145" s="7" t="str">
        <f t="shared" si="11"/>
        <v/>
      </c>
      <c r="B145" s="14" t="str">
        <f t="shared" si="6"/>
        <v/>
      </c>
      <c r="C145" s="14" t="str">
        <f t="shared" si="7"/>
        <v/>
      </c>
      <c r="D145" s="14" t="str">
        <f t="shared" si="8"/>
        <v/>
      </c>
      <c r="E145" s="14" t="str">
        <f t="shared" si="9"/>
        <v/>
      </c>
      <c r="F145" s="14" t="str">
        <f t="shared" si="10"/>
        <v/>
      </c>
    </row>
    <row r="146" spans="1:6">
      <c r="A146" s="7" t="str">
        <f t="shared" si="11"/>
        <v/>
      </c>
      <c r="B146" s="14" t="str">
        <f t="shared" si="6"/>
        <v/>
      </c>
      <c r="C146" s="14" t="str">
        <f t="shared" si="7"/>
        <v/>
      </c>
      <c r="D146" s="14" t="str">
        <f t="shared" si="8"/>
        <v/>
      </c>
      <c r="E146" s="14" t="str">
        <f t="shared" si="9"/>
        <v/>
      </c>
      <c r="F146" s="14" t="str">
        <f t="shared" si="10"/>
        <v/>
      </c>
    </row>
    <row r="147" spans="1:6">
      <c r="A147" s="7" t="str">
        <f t="shared" si="11"/>
        <v/>
      </c>
      <c r="B147" s="14" t="str">
        <f t="shared" si="6"/>
        <v/>
      </c>
      <c r="C147" s="14" t="str">
        <f t="shared" si="7"/>
        <v/>
      </c>
      <c r="D147" s="14" t="str">
        <f t="shared" si="8"/>
        <v/>
      </c>
      <c r="E147" s="14" t="str">
        <f t="shared" si="9"/>
        <v/>
      </c>
      <c r="F147" s="14" t="str">
        <f t="shared" si="10"/>
        <v/>
      </c>
    </row>
    <row r="148" spans="1:6">
      <c r="A148" s="7" t="str">
        <f t="shared" si="11"/>
        <v/>
      </c>
      <c r="B148" s="14" t="str">
        <f t="shared" ref="B148:B211" si="12">IF(A148&lt;=$E$9,C148+D148,"")</f>
        <v/>
      </c>
      <c r="C148" s="14" t="str">
        <f t="shared" ref="C148:C211" si="13">IF(A148&lt;=$E$9,F147*($E$8/$E$10),"")</f>
        <v/>
      </c>
      <c r="D148" s="14" t="str">
        <f t="shared" ref="D148:D211" si="14">IF(A148&lt;=$E$9,$E$13-C148,"")</f>
        <v/>
      </c>
      <c r="E148" s="14" t="str">
        <f t="shared" ref="E148:E211" si="15">IF(A148&lt;=$E$9,E147+D148,"")</f>
        <v/>
      </c>
      <c r="F148" s="14" t="str">
        <f t="shared" ref="F148:F211" si="16">IF(A148&lt;=$E$9,ROUND(($F$19-E148),2),"")</f>
        <v/>
      </c>
    </row>
    <row r="149" spans="1:6">
      <c r="A149" s="7" t="str">
        <f t="shared" ref="A149:A212" si="17">IF(A148&lt;$E$9,A148+1,"")</f>
        <v/>
      </c>
      <c r="B149" s="14" t="str">
        <f t="shared" si="12"/>
        <v/>
      </c>
      <c r="C149" s="14" t="str">
        <f t="shared" si="13"/>
        <v/>
      </c>
      <c r="D149" s="14" t="str">
        <f t="shared" si="14"/>
        <v/>
      </c>
      <c r="E149" s="14" t="str">
        <f t="shared" si="15"/>
        <v/>
      </c>
      <c r="F149" s="14" t="str">
        <f t="shared" si="16"/>
        <v/>
      </c>
    </row>
    <row r="150" spans="1:6">
      <c r="A150" s="7" t="str">
        <f t="shared" si="17"/>
        <v/>
      </c>
      <c r="B150" s="14" t="str">
        <f t="shared" si="12"/>
        <v/>
      </c>
      <c r="C150" s="14" t="str">
        <f t="shared" si="13"/>
        <v/>
      </c>
      <c r="D150" s="14" t="str">
        <f t="shared" si="14"/>
        <v/>
      </c>
      <c r="E150" s="14" t="str">
        <f t="shared" si="15"/>
        <v/>
      </c>
      <c r="F150" s="14" t="str">
        <f t="shared" si="16"/>
        <v/>
      </c>
    </row>
    <row r="151" spans="1:6">
      <c r="A151" s="7" t="str">
        <f t="shared" si="17"/>
        <v/>
      </c>
      <c r="B151" s="14" t="str">
        <f t="shared" si="12"/>
        <v/>
      </c>
      <c r="C151" s="14" t="str">
        <f t="shared" si="13"/>
        <v/>
      </c>
      <c r="D151" s="14" t="str">
        <f t="shared" si="14"/>
        <v/>
      </c>
      <c r="E151" s="14" t="str">
        <f t="shared" si="15"/>
        <v/>
      </c>
      <c r="F151" s="14" t="str">
        <f t="shared" si="16"/>
        <v/>
      </c>
    </row>
    <row r="152" spans="1:6">
      <c r="A152" s="7" t="str">
        <f t="shared" si="17"/>
        <v/>
      </c>
      <c r="B152" s="14" t="str">
        <f t="shared" si="12"/>
        <v/>
      </c>
      <c r="C152" s="14" t="str">
        <f t="shared" si="13"/>
        <v/>
      </c>
      <c r="D152" s="14" t="str">
        <f t="shared" si="14"/>
        <v/>
      </c>
      <c r="E152" s="14" t="str">
        <f t="shared" si="15"/>
        <v/>
      </c>
      <c r="F152" s="14" t="str">
        <f t="shared" si="16"/>
        <v/>
      </c>
    </row>
    <row r="153" spans="1:6">
      <c r="A153" s="7" t="str">
        <f t="shared" si="17"/>
        <v/>
      </c>
      <c r="B153" s="14" t="str">
        <f t="shared" si="12"/>
        <v/>
      </c>
      <c r="C153" s="14" t="str">
        <f t="shared" si="13"/>
        <v/>
      </c>
      <c r="D153" s="14" t="str">
        <f t="shared" si="14"/>
        <v/>
      </c>
      <c r="E153" s="14" t="str">
        <f t="shared" si="15"/>
        <v/>
      </c>
      <c r="F153" s="14" t="str">
        <f t="shared" si="16"/>
        <v/>
      </c>
    </row>
    <row r="154" spans="1:6">
      <c r="A154" s="7" t="str">
        <f t="shared" si="17"/>
        <v/>
      </c>
      <c r="B154" s="14" t="str">
        <f t="shared" si="12"/>
        <v/>
      </c>
      <c r="C154" s="14" t="str">
        <f t="shared" si="13"/>
        <v/>
      </c>
      <c r="D154" s="14" t="str">
        <f t="shared" si="14"/>
        <v/>
      </c>
      <c r="E154" s="14" t="str">
        <f t="shared" si="15"/>
        <v/>
      </c>
      <c r="F154" s="14" t="str">
        <f t="shared" si="16"/>
        <v/>
      </c>
    </row>
    <row r="155" spans="1:6">
      <c r="A155" s="7" t="str">
        <f t="shared" si="17"/>
        <v/>
      </c>
      <c r="B155" s="14" t="str">
        <f t="shared" si="12"/>
        <v/>
      </c>
      <c r="C155" s="14" t="str">
        <f t="shared" si="13"/>
        <v/>
      </c>
      <c r="D155" s="14" t="str">
        <f t="shared" si="14"/>
        <v/>
      </c>
      <c r="E155" s="14" t="str">
        <f t="shared" si="15"/>
        <v/>
      </c>
      <c r="F155" s="14" t="str">
        <f t="shared" si="16"/>
        <v/>
      </c>
    </row>
    <row r="156" spans="1:6">
      <c r="A156" s="7" t="str">
        <f t="shared" si="17"/>
        <v/>
      </c>
      <c r="B156" s="14" t="str">
        <f t="shared" si="12"/>
        <v/>
      </c>
      <c r="C156" s="14" t="str">
        <f t="shared" si="13"/>
        <v/>
      </c>
      <c r="D156" s="14" t="str">
        <f t="shared" si="14"/>
        <v/>
      </c>
      <c r="E156" s="14" t="str">
        <f t="shared" si="15"/>
        <v/>
      </c>
      <c r="F156" s="14" t="str">
        <f t="shared" si="16"/>
        <v/>
      </c>
    </row>
    <row r="157" spans="1:6">
      <c r="A157" s="7" t="str">
        <f t="shared" si="17"/>
        <v/>
      </c>
      <c r="B157" s="14" t="str">
        <f t="shared" si="12"/>
        <v/>
      </c>
      <c r="C157" s="14" t="str">
        <f t="shared" si="13"/>
        <v/>
      </c>
      <c r="D157" s="14" t="str">
        <f t="shared" si="14"/>
        <v/>
      </c>
      <c r="E157" s="14" t="str">
        <f t="shared" si="15"/>
        <v/>
      </c>
      <c r="F157" s="14" t="str">
        <f t="shared" si="16"/>
        <v/>
      </c>
    </row>
    <row r="158" spans="1:6">
      <c r="A158" s="7" t="str">
        <f t="shared" si="17"/>
        <v/>
      </c>
      <c r="B158" s="14" t="str">
        <f t="shared" si="12"/>
        <v/>
      </c>
      <c r="C158" s="14" t="str">
        <f t="shared" si="13"/>
        <v/>
      </c>
      <c r="D158" s="14" t="str">
        <f t="shared" si="14"/>
        <v/>
      </c>
      <c r="E158" s="14" t="str">
        <f t="shared" si="15"/>
        <v/>
      </c>
      <c r="F158" s="14" t="str">
        <f t="shared" si="16"/>
        <v/>
      </c>
    </row>
    <row r="159" spans="1:6">
      <c r="A159" s="7" t="str">
        <f t="shared" si="17"/>
        <v/>
      </c>
      <c r="B159" s="14" t="str">
        <f t="shared" si="12"/>
        <v/>
      </c>
      <c r="C159" s="14" t="str">
        <f t="shared" si="13"/>
        <v/>
      </c>
      <c r="D159" s="14" t="str">
        <f t="shared" si="14"/>
        <v/>
      </c>
      <c r="E159" s="14" t="str">
        <f t="shared" si="15"/>
        <v/>
      </c>
      <c r="F159" s="14" t="str">
        <f t="shared" si="16"/>
        <v/>
      </c>
    </row>
    <row r="160" spans="1:6">
      <c r="A160" s="7" t="str">
        <f t="shared" si="17"/>
        <v/>
      </c>
      <c r="B160" s="14" t="str">
        <f t="shared" si="12"/>
        <v/>
      </c>
      <c r="C160" s="14" t="str">
        <f t="shared" si="13"/>
        <v/>
      </c>
      <c r="D160" s="14" t="str">
        <f t="shared" si="14"/>
        <v/>
      </c>
      <c r="E160" s="14" t="str">
        <f t="shared" si="15"/>
        <v/>
      </c>
      <c r="F160" s="14" t="str">
        <f t="shared" si="16"/>
        <v/>
      </c>
    </row>
    <row r="161" spans="1:6">
      <c r="A161" s="7" t="str">
        <f t="shared" si="17"/>
        <v/>
      </c>
      <c r="B161" s="14" t="str">
        <f t="shared" si="12"/>
        <v/>
      </c>
      <c r="C161" s="14" t="str">
        <f t="shared" si="13"/>
        <v/>
      </c>
      <c r="D161" s="14" t="str">
        <f t="shared" si="14"/>
        <v/>
      </c>
      <c r="E161" s="14" t="str">
        <f t="shared" si="15"/>
        <v/>
      </c>
      <c r="F161" s="14" t="str">
        <f t="shared" si="16"/>
        <v/>
      </c>
    </row>
    <row r="162" spans="1:6">
      <c r="A162" s="7" t="str">
        <f t="shared" si="17"/>
        <v/>
      </c>
      <c r="B162" s="14" t="str">
        <f t="shared" si="12"/>
        <v/>
      </c>
      <c r="C162" s="14" t="str">
        <f t="shared" si="13"/>
        <v/>
      </c>
      <c r="D162" s="14" t="str">
        <f t="shared" si="14"/>
        <v/>
      </c>
      <c r="E162" s="14" t="str">
        <f t="shared" si="15"/>
        <v/>
      </c>
      <c r="F162" s="14" t="str">
        <f t="shared" si="16"/>
        <v/>
      </c>
    </row>
    <row r="163" spans="1:6">
      <c r="A163" s="7" t="str">
        <f t="shared" si="17"/>
        <v/>
      </c>
      <c r="B163" s="14" t="str">
        <f t="shared" si="12"/>
        <v/>
      </c>
      <c r="C163" s="14" t="str">
        <f t="shared" si="13"/>
        <v/>
      </c>
      <c r="D163" s="14" t="str">
        <f t="shared" si="14"/>
        <v/>
      </c>
      <c r="E163" s="14" t="str">
        <f t="shared" si="15"/>
        <v/>
      </c>
      <c r="F163" s="14" t="str">
        <f t="shared" si="16"/>
        <v/>
      </c>
    </row>
    <row r="164" spans="1:6">
      <c r="A164" s="7" t="str">
        <f t="shared" si="17"/>
        <v/>
      </c>
      <c r="B164" s="14" t="str">
        <f t="shared" si="12"/>
        <v/>
      </c>
      <c r="C164" s="14" t="str">
        <f t="shared" si="13"/>
        <v/>
      </c>
      <c r="D164" s="14" t="str">
        <f t="shared" si="14"/>
        <v/>
      </c>
      <c r="E164" s="14" t="str">
        <f t="shared" si="15"/>
        <v/>
      </c>
      <c r="F164" s="14" t="str">
        <f t="shared" si="16"/>
        <v/>
      </c>
    </row>
    <row r="165" spans="1:6">
      <c r="A165" s="7" t="str">
        <f t="shared" si="17"/>
        <v/>
      </c>
      <c r="B165" s="14" t="str">
        <f t="shared" si="12"/>
        <v/>
      </c>
      <c r="C165" s="14" t="str">
        <f t="shared" si="13"/>
        <v/>
      </c>
      <c r="D165" s="14" t="str">
        <f t="shared" si="14"/>
        <v/>
      </c>
      <c r="E165" s="14" t="str">
        <f t="shared" si="15"/>
        <v/>
      </c>
      <c r="F165" s="14" t="str">
        <f t="shared" si="16"/>
        <v/>
      </c>
    </row>
    <row r="166" spans="1:6">
      <c r="A166" s="7" t="str">
        <f t="shared" si="17"/>
        <v/>
      </c>
      <c r="B166" s="14" t="str">
        <f t="shared" si="12"/>
        <v/>
      </c>
      <c r="C166" s="14" t="str">
        <f t="shared" si="13"/>
        <v/>
      </c>
      <c r="D166" s="14" t="str">
        <f t="shared" si="14"/>
        <v/>
      </c>
      <c r="E166" s="14" t="str">
        <f t="shared" si="15"/>
        <v/>
      </c>
      <c r="F166" s="14" t="str">
        <f t="shared" si="16"/>
        <v/>
      </c>
    </row>
    <row r="167" spans="1:6">
      <c r="A167" s="7" t="str">
        <f t="shared" si="17"/>
        <v/>
      </c>
      <c r="B167" s="14" t="str">
        <f t="shared" si="12"/>
        <v/>
      </c>
      <c r="C167" s="14" t="str">
        <f t="shared" si="13"/>
        <v/>
      </c>
      <c r="D167" s="14" t="str">
        <f t="shared" si="14"/>
        <v/>
      </c>
      <c r="E167" s="14" t="str">
        <f t="shared" si="15"/>
        <v/>
      </c>
      <c r="F167" s="14" t="str">
        <f t="shared" si="16"/>
        <v/>
      </c>
    </row>
    <row r="168" spans="1:6">
      <c r="A168" s="7" t="str">
        <f t="shared" si="17"/>
        <v/>
      </c>
      <c r="B168" s="14" t="str">
        <f t="shared" si="12"/>
        <v/>
      </c>
      <c r="C168" s="14" t="str">
        <f t="shared" si="13"/>
        <v/>
      </c>
      <c r="D168" s="14" t="str">
        <f t="shared" si="14"/>
        <v/>
      </c>
      <c r="E168" s="14" t="str">
        <f t="shared" si="15"/>
        <v/>
      </c>
      <c r="F168" s="14" t="str">
        <f t="shared" si="16"/>
        <v/>
      </c>
    </row>
    <row r="169" spans="1:6">
      <c r="A169" s="7" t="str">
        <f t="shared" si="17"/>
        <v/>
      </c>
      <c r="B169" s="14" t="str">
        <f t="shared" si="12"/>
        <v/>
      </c>
      <c r="C169" s="14" t="str">
        <f t="shared" si="13"/>
        <v/>
      </c>
      <c r="D169" s="14" t="str">
        <f t="shared" si="14"/>
        <v/>
      </c>
      <c r="E169" s="14" t="str">
        <f t="shared" si="15"/>
        <v/>
      </c>
      <c r="F169" s="14" t="str">
        <f t="shared" si="16"/>
        <v/>
      </c>
    </row>
    <row r="170" spans="1:6">
      <c r="A170" s="7" t="str">
        <f t="shared" si="17"/>
        <v/>
      </c>
      <c r="B170" s="14" t="str">
        <f t="shared" si="12"/>
        <v/>
      </c>
      <c r="C170" s="14" t="str">
        <f t="shared" si="13"/>
        <v/>
      </c>
      <c r="D170" s="14" t="str">
        <f t="shared" si="14"/>
        <v/>
      </c>
      <c r="E170" s="14" t="str">
        <f t="shared" si="15"/>
        <v/>
      </c>
      <c r="F170" s="14" t="str">
        <f t="shared" si="16"/>
        <v/>
      </c>
    </row>
    <row r="171" spans="1:6">
      <c r="A171" s="7" t="str">
        <f t="shared" si="17"/>
        <v/>
      </c>
      <c r="B171" s="14" t="str">
        <f t="shared" si="12"/>
        <v/>
      </c>
      <c r="C171" s="14" t="str">
        <f t="shared" si="13"/>
        <v/>
      </c>
      <c r="D171" s="14" t="str">
        <f t="shared" si="14"/>
        <v/>
      </c>
      <c r="E171" s="14" t="str">
        <f t="shared" si="15"/>
        <v/>
      </c>
      <c r="F171" s="14" t="str">
        <f t="shared" si="16"/>
        <v/>
      </c>
    </row>
    <row r="172" spans="1:6">
      <c r="A172" s="7" t="str">
        <f t="shared" si="17"/>
        <v/>
      </c>
      <c r="B172" s="14" t="str">
        <f t="shared" si="12"/>
        <v/>
      </c>
      <c r="C172" s="14" t="str">
        <f t="shared" si="13"/>
        <v/>
      </c>
      <c r="D172" s="14" t="str">
        <f t="shared" si="14"/>
        <v/>
      </c>
      <c r="E172" s="14" t="str">
        <f t="shared" si="15"/>
        <v/>
      </c>
      <c r="F172" s="14" t="str">
        <f t="shared" si="16"/>
        <v/>
      </c>
    </row>
    <row r="173" spans="1:6">
      <c r="A173" s="7" t="str">
        <f t="shared" si="17"/>
        <v/>
      </c>
      <c r="B173" s="14" t="str">
        <f t="shared" si="12"/>
        <v/>
      </c>
      <c r="C173" s="14" t="str">
        <f t="shared" si="13"/>
        <v/>
      </c>
      <c r="D173" s="14" t="str">
        <f t="shared" si="14"/>
        <v/>
      </c>
      <c r="E173" s="14" t="str">
        <f t="shared" si="15"/>
        <v/>
      </c>
      <c r="F173" s="14" t="str">
        <f t="shared" si="16"/>
        <v/>
      </c>
    </row>
    <row r="174" spans="1:6">
      <c r="A174" s="7" t="str">
        <f t="shared" si="17"/>
        <v/>
      </c>
      <c r="B174" s="14" t="str">
        <f t="shared" si="12"/>
        <v/>
      </c>
      <c r="C174" s="14" t="str">
        <f t="shared" si="13"/>
        <v/>
      </c>
      <c r="D174" s="14" t="str">
        <f t="shared" si="14"/>
        <v/>
      </c>
      <c r="E174" s="14" t="str">
        <f t="shared" si="15"/>
        <v/>
      </c>
      <c r="F174" s="14" t="str">
        <f t="shared" si="16"/>
        <v/>
      </c>
    </row>
    <row r="175" spans="1:6">
      <c r="A175" s="7" t="str">
        <f t="shared" si="17"/>
        <v/>
      </c>
      <c r="B175" s="14" t="str">
        <f t="shared" si="12"/>
        <v/>
      </c>
      <c r="C175" s="14" t="str">
        <f t="shared" si="13"/>
        <v/>
      </c>
      <c r="D175" s="14" t="str">
        <f t="shared" si="14"/>
        <v/>
      </c>
      <c r="E175" s="14" t="str">
        <f t="shared" si="15"/>
        <v/>
      </c>
      <c r="F175" s="14" t="str">
        <f t="shared" si="16"/>
        <v/>
      </c>
    </row>
    <row r="176" spans="1:6">
      <c r="A176" s="7" t="str">
        <f t="shared" si="17"/>
        <v/>
      </c>
      <c r="B176" s="14" t="str">
        <f t="shared" si="12"/>
        <v/>
      </c>
      <c r="C176" s="14" t="str">
        <f t="shared" si="13"/>
        <v/>
      </c>
      <c r="D176" s="14" t="str">
        <f t="shared" si="14"/>
        <v/>
      </c>
      <c r="E176" s="14" t="str">
        <f t="shared" si="15"/>
        <v/>
      </c>
      <c r="F176" s="14" t="str">
        <f t="shared" si="16"/>
        <v/>
      </c>
    </row>
    <row r="177" spans="1:6">
      <c r="A177" s="7" t="str">
        <f t="shared" si="17"/>
        <v/>
      </c>
      <c r="B177" s="14" t="str">
        <f t="shared" si="12"/>
        <v/>
      </c>
      <c r="C177" s="14" t="str">
        <f t="shared" si="13"/>
        <v/>
      </c>
      <c r="D177" s="14" t="str">
        <f t="shared" si="14"/>
        <v/>
      </c>
      <c r="E177" s="14" t="str">
        <f t="shared" si="15"/>
        <v/>
      </c>
      <c r="F177" s="14" t="str">
        <f t="shared" si="16"/>
        <v/>
      </c>
    </row>
    <row r="178" spans="1:6">
      <c r="A178" s="7" t="str">
        <f t="shared" si="17"/>
        <v/>
      </c>
      <c r="B178" s="14" t="str">
        <f t="shared" si="12"/>
        <v/>
      </c>
      <c r="C178" s="14" t="str">
        <f t="shared" si="13"/>
        <v/>
      </c>
      <c r="D178" s="14" t="str">
        <f t="shared" si="14"/>
        <v/>
      </c>
      <c r="E178" s="14" t="str">
        <f t="shared" si="15"/>
        <v/>
      </c>
      <c r="F178" s="14" t="str">
        <f t="shared" si="16"/>
        <v/>
      </c>
    </row>
    <row r="179" spans="1:6">
      <c r="A179" s="7" t="str">
        <f t="shared" si="17"/>
        <v/>
      </c>
      <c r="B179" s="14" t="str">
        <f t="shared" si="12"/>
        <v/>
      </c>
      <c r="C179" s="14" t="str">
        <f t="shared" si="13"/>
        <v/>
      </c>
      <c r="D179" s="14" t="str">
        <f t="shared" si="14"/>
        <v/>
      </c>
      <c r="E179" s="14" t="str">
        <f t="shared" si="15"/>
        <v/>
      </c>
      <c r="F179" s="14" t="str">
        <f t="shared" si="16"/>
        <v/>
      </c>
    </row>
    <row r="180" spans="1:6">
      <c r="A180" s="7" t="str">
        <f t="shared" si="17"/>
        <v/>
      </c>
      <c r="B180" s="14" t="str">
        <f t="shared" si="12"/>
        <v/>
      </c>
      <c r="C180" s="14" t="str">
        <f t="shared" si="13"/>
        <v/>
      </c>
      <c r="D180" s="14" t="str">
        <f t="shared" si="14"/>
        <v/>
      </c>
      <c r="E180" s="14" t="str">
        <f t="shared" si="15"/>
        <v/>
      </c>
      <c r="F180" s="14" t="str">
        <f t="shared" si="16"/>
        <v/>
      </c>
    </row>
    <row r="181" spans="1:6">
      <c r="A181" s="7" t="str">
        <f t="shared" si="17"/>
        <v/>
      </c>
      <c r="B181" s="14" t="str">
        <f t="shared" si="12"/>
        <v/>
      </c>
      <c r="C181" s="14" t="str">
        <f t="shared" si="13"/>
        <v/>
      </c>
      <c r="D181" s="14" t="str">
        <f t="shared" si="14"/>
        <v/>
      </c>
      <c r="E181" s="14" t="str">
        <f t="shared" si="15"/>
        <v/>
      </c>
      <c r="F181" s="14" t="str">
        <f t="shared" si="16"/>
        <v/>
      </c>
    </row>
    <row r="182" spans="1:6">
      <c r="A182" s="7" t="str">
        <f t="shared" si="17"/>
        <v/>
      </c>
      <c r="B182" s="14" t="str">
        <f t="shared" si="12"/>
        <v/>
      </c>
      <c r="C182" s="14" t="str">
        <f t="shared" si="13"/>
        <v/>
      </c>
      <c r="D182" s="14" t="str">
        <f t="shared" si="14"/>
        <v/>
      </c>
      <c r="E182" s="14" t="str">
        <f t="shared" si="15"/>
        <v/>
      </c>
      <c r="F182" s="14" t="str">
        <f t="shared" si="16"/>
        <v/>
      </c>
    </row>
    <row r="183" spans="1:6">
      <c r="A183" s="7" t="str">
        <f t="shared" si="17"/>
        <v/>
      </c>
      <c r="B183" s="14" t="str">
        <f t="shared" si="12"/>
        <v/>
      </c>
      <c r="C183" s="14" t="str">
        <f t="shared" si="13"/>
        <v/>
      </c>
      <c r="D183" s="14" t="str">
        <f t="shared" si="14"/>
        <v/>
      </c>
      <c r="E183" s="14" t="str">
        <f t="shared" si="15"/>
        <v/>
      </c>
      <c r="F183" s="14" t="str">
        <f t="shared" si="16"/>
        <v/>
      </c>
    </row>
    <row r="184" spans="1:6">
      <c r="A184" s="7" t="str">
        <f t="shared" si="17"/>
        <v/>
      </c>
      <c r="B184" s="14" t="str">
        <f t="shared" si="12"/>
        <v/>
      </c>
      <c r="C184" s="14" t="str">
        <f t="shared" si="13"/>
        <v/>
      </c>
      <c r="D184" s="14" t="str">
        <f t="shared" si="14"/>
        <v/>
      </c>
      <c r="E184" s="14" t="str">
        <f t="shared" si="15"/>
        <v/>
      </c>
      <c r="F184" s="14" t="str">
        <f t="shared" si="16"/>
        <v/>
      </c>
    </row>
    <row r="185" spans="1:6">
      <c r="A185" s="7" t="str">
        <f t="shared" si="17"/>
        <v/>
      </c>
      <c r="B185" s="14" t="str">
        <f t="shared" si="12"/>
        <v/>
      </c>
      <c r="C185" s="14" t="str">
        <f t="shared" si="13"/>
        <v/>
      </c>
      <c r="D185" s="14" t="str">
        <f t="shared" si="14"/>
        <v/>
      </c>
      <c r="E185" s="14" t="str">
        <f t="shared" si="15"/>
        <v/>
      </c>
      <c r="F185" s="14" t="str">
        <f t="shared" si="16"/>
        <v/>
      </c>
    </row>
    <row r="186" spans="1:6">
      <c r="A186" s="7" t="str">
        <f t="shared" si="17"/>
        <v/>
      </c>
      <c r="B186" s="14" t="str">
        <f t="shared" si="12"/>
        <v/>
      </c>
      <c r="C186" s="14" t="str">
        <f t="shared" si="13"/>
        <v/>
      </c>
      <c r="D186" s="14" t="str">
        <f t="shared" si="14"/>
        <v/>
      </c>
      <c r="E186" s="14" t="str">
        <f t="shared" si="15"/>
        <v/>
      </c>
      <c r="F186" s="14" t="str">
        <f t="shared" si="16"/>
        <v/>
      </c>
    </row>
    <row r="187" spans="1:6">
      <c r="A187" s="7" t="str">
        <f t="shared" si="17"/>
        <v/>
      </c>
      <c r="B187" s="14" t="str">
        <f t="shared" si="12"/>
        <v/>
      </c>
      <c r="C187" s="14" t="str">
        <f t="shared" si="13"/>
        <v/>
      </c>
      <c r="D187" s="14" t="str">
        <f t="shared" si="14"/>
        <v/>
      </c>
      <c r="E187" s="14" t="str">
        <f t="shared" si="15"/>
        <v/>
      </c>
      <c r="F187" s="14" t="str">
        <f t="shared" si="16"/>
        <v/>
      </c>
    </row>
    <row r="188" spans="1:6">
      <c r="A188" s="7" t="str">
        <f t="shared" si="17"/>
        <v/>
      </c>
      <c r="B188" s="14" t="str">
        <f t="shared" si="12"/>
        <v/>
      </c>
      <c r="C188" s="14" t="str">
        <f t="shared" si="13"/>
        <v/>
      </c>
      <c r="D188" s="14" t="str">
        <f t="shared" si="14"/>
        <v/>
      </c>
      <c r="E188" s="14" t="str">
        <f t="shared" si="15"/>
        <v/>
      </c>
      <c r="F188" s="14" t="str">
        <f t="shared" si="16"/>
        <v/>
      </c>
    </row>
    <row r="189" spans="1:6">
      <c r="A189" s="7" t="str">
        <f t="shared" si="17"/>
        <v/>
      </c>
      <c r="B189" s="14" t="str">
        <f t="shared" si="12"/>
        <v/>
      </c>
      <c r="C189" s="14" t="str">
        <f t="shared" si="13"/>
        <v/>
      </c>
      <c r="D189" s="14" t="str">
        <f t="shared" si="14"/>
        <v/>
      </c>
      <c r="E189" s="14" t="str">
        <f t="shared" si="15"/>
        <v/>
      </c>
      <c r="F189" s="14" t="str">
        <f t="shared" si="16"/>
        <v/>
      </c>
    </row>
    <row r="190" spans="1:6">
      <c r="A190" s="7" t="str">
        <f t="shared" si="17"/>
        <v/>
      </c>
      <c r="B190" s="14" t="str">
        <f t="shared" si="12"/>
        <v/>
      </c>
      <c r="C190" s="14" t="str">
        <f t="shared" si="13"/>
        <v/>
      </c>
      <c r="D190" s="14" t="str">
        <f t="shared" si="14"/>
        <v/>
      </c>
      <c r="E190" s="14" t="str">
        <f t="shared" si="15"/>
        <v/>
      </c>
      <c r="F190" s="14" t="str">
        <f t="shared" si="16"/>
        <v/>
      </c>
    </row>
    <row r="191" spans="1:6">
      <c r="A191" s="7" t="str">
        <f t="shared" si="17"/>
        <v/>
      </c>
      <c r="B191" s="14" t="str">
        <f t="shared" si="12"/>
        <v/>
      </c>
      <c r="C191" s="14" t="str">
        <f t="shared" si="13"/>
        <v/>
      </c>
      <c r="D191" s="14" t="str">
        <f t="shared" si="14"/>
        <v/>
      </c>
      <c r="E191" s="14" t="str">
        <f t="shared" si="15"/>
        <v/>
      </c>
      <c r="F191" s="14" t="str">
        <f t="shared" si="16"/>
        <v/>
      </c>
    </row>
    <row r="192" spans="1:6">
      <c r="A192" s="7" t="str">
        <f t="shared" si="17"/>
        <v/>
      </c>
      <c r="B192" s="14" t="str">
        <f t="shared" si="12"/>
        <v/>
      </c>
      <c r="C192" s="14" t="str">
        <f t="shared" si="13"/>
        <v/>
      </c>
      <c r="D192" s="14" t="str">
        <f t="shared" si="14"/>
        <v/>
      </c>
      <c r="E192" s="14" t="str">
        <f t="shared" si="15"/>
        <v/>
      </c>
      <c r="F192" s="14" t="str">
        <f t="shared" si="16"/>
        <v/>
      </c>
    </row>
    <row r="193" spans="1:6">
      <c r="A193" s="7" t="str">
        <f t="shared" si="17"/>
        <v/>
      </c>
      <c r="B193" s="14" t="str">
        <f t="shared" si="12"/>
        <v/>
      </c>
      <c r="C193" s="14" t="str">
        <f t="shared" si="13"/>
        <v/>
      </c>
      <c r="D193" s="14" t="str">
        <f t="shared" si="14"/>
        <v/>
      </c>
      <c r="E193" s="14" t="str">
        <f t="shared" si="15"/>
        <v/>
      </c>
      <c r="F193" s="14" t="str">
        <f t="shared" si="16"/>
        <v/>
      </c>
    </row>
    <row r="194" spans="1:6">
      <c r="A194" s="7" t="str">
        <f t="shared" si="17"/>
        <v/>
      </c>
      <c r="B194" s="14" t="str">
        <f t="shared" si="12"/>
        <v/>
      </c>
      <c r="C194" s="14" t="str">
        <f t="shared" si="13"/>
        <v/>
      </c>
      <c r="D194" s="14" t="str">
        <f t="shared" si="14"/>
        <v/>
      </c>
      <c r="E194" s="14" t="str">
        <f t="shared" si="15"/>
        <v/>
      </c>
      <c r="F194" s="14" t="str">
        <f t="shared" si="16"/>
        <v/>
      </c>
    </row>
    <row r="195" spans="1:6">
      <c r="A195" s="7" t="str">
        <f t="shared" si="17"/>
        <v/>
      </c>
      <c r="B195" s="14" t="str">
        <f t="shared" si="12"/>
        <v/>
      </c>
      <c r="C195" s="14" t="str">
        <f t="shared" si="13"/>
        <v/>
      </c>
      <c r="D195" s="14" t="str">
        <f t="shared" si="14"/>
        <v/>
      </c>
      <c r="E195" s="14" t="str">
        <f t="shared" si="15"/>
        <v/>
      </c>
      <c r="F195" s="14" t="str">
        <f t="shared" si="16"/>
        <v/>
      </c>
    </row>
    <row r="196" spans="1:6">
      <c r="A196" s="7" t="str">
        <f t="shared" si="17"/>
        <v/>
      </c>
      <c r="B196" s="14" t="str">
        <f t="shared" si="12"/>
        <v/>
      </c>
      <c r="C196" s="14" t="str">
        <f t="shared" si="13"/>
        <v/>
      </c>
      <c r="D196" s="14" t="str">
        <f t="shared" si="14"/>
        <v/>
      </c>
      <c r="E196" s="14" t="str">
        <f t="shared" si="15"/>
        <v/>
      </c>
      <c r="F196" s="14" t="str">
        <f t="shared" si="16"/>
        <v/>
      </c>
    </row>
    <row r="197" spans="1:6">
      <c r="A197" s="7" t="str">
        <f t="shared" si="17"/>
        <v/>
      </c>
      <c r="B197" s="14" t="str">
        <f t="shared" si="12"/>
        <v/>
      </c>
      <c r="C197" s="14" t="str">
        <f t="shared" si="13"/>
        <v/>
      </c>
      <c r="D197" s="14" t="str">
        <f t="shared" si="14"/>
        <v/>
      </c>
      <c r="E197" s="14" t="str">
        <f t="shared" si="15"/>
        <v/>
      </c>
      <c r="F197" s="14" t="str">
        <f t="shared" si="16"/>
        <v/>
      </c>
    </row>
    <row r="198" spans="1:6">
      <c r="A198" s="7" t="str">
        <f t="shared" si="17"/>
        <v/>
      </c>
      <c r="B198" s="14" t="str">
        <f t="shared" si="12"/>
        <v/>
      </c>
      <c r="C198" s="14" t="str">
        <f t="shared" si="13"/>
        <v/>
      </c>
      <c r="D198" s="14" t="str">
        <f t="shared" si="14"/>
        <v/>
      </c>
      <c r="E198" s="14" t="str">
        <f t="shared" si="15"/>
        <v/>
      </c>
      <c r="F198" s="14" t="str">
        <f t="shared" si="16"/>
        <v/>
      </c>
    </row>
    <row r="199" spans="1:6">
      <c r="A199" s="7" t="str">
        <f t="shared" si="17"/>
        <v/>
      </c>
      <c r="B199" s="14" t="str">
        <f t="shared" si="12"/>
        <v/>
      </c>
      <c r="C199" s="14" t="str">
        <f t="shared" si="13"/>
        <v/>
      </c>
      <c r="D199" s="14" t="str">
        <f t="shared" si="14"/>
        <v/>
      </c>
      <c r="E199" s="14" t="str">
        <f t="shared" si="15"/>
        <v/>
      </c>
      <c r="F199" s="14" t="str">
        <f t="shared" si="16"/>
        <v/>
      </c>
    </row>
    <row r="200" spans="1:6">
      <c r="A200" s="7" t="str">
        <f t="shared" si="17"/>
        <v/>
      </c>
      <c r="B200" s="14" t="str">
        <f t="shared" si="12"/>
        <v/>
      </c>
      <c r="C200" s="14" t="str">
        <f t="shared" si="13"/>
        <v/>
      </c>
      <c r="D200" s="14" t="str">
        <f t="shared" si="14"/>
        <v/>
      </c>
      <c r="E200" s="14" t="str">
        <f t="shared" si="15"/>
        <v/>
      </c>
      <c r="F200" s="14" t="str">
        <f t="shared" si="16"/>
        <v/>
      </c>
    </row>
    <row r="201" spans="1:6">
      <c r="A201" s="7" t="str">
        <f t="shared" si="17"/>
        <v/>
      </c>
      <c r="B201" s="14" t="str">
        <f t="shared" si="12"/>
        <v/>
      </c>
      <c r="C201" s="14" t="str">
        <f t="shared" si="13"/>
        <v/>
      </c>
      <c r="D201" s="14" t="str">
        <f t="shared" si="14"/>
        <v/>
      </c>
      <c r="E201" s="14" t="str">
        <f t="shared" si="15"/>
        <v/>
      </c>
      <c r="F201" s="14" t="str">
        <f t="shared" si="16"/>
        <v/>
      </c>
    </row>
    <row r="202" spans="1:6">
      <c r="A202" s="7" t="str">
        <f t="shared" si="17"/>
        <v/>
      </c>
      <c r="B202" s="14" t="str">
        <f t="shared" si="12"/>
        <v/>
      </c>
      <c r="C202" s="14" t="str">
        <f t="shared" si="13"/>
        <v/>
      </c>
      <c r="D202" s="14" t="str">
        <f t="shared" si="14"/>
        <v/>
      </c>
      <c r="E202" s="14" t="str">
        <f t="shared" si="15"/>
        <v/>
      </c>
      <c r="F202" s="14" t="str">
        <f t="shared" si="16"/>
        <v/>
      </c>
    </row>
    <row r="203" spans="1:6">
      <c r="A203" s="7" t="str">
        <f t="shared" si="17"/>
        <v/>
      </c>
      <c r="B203" s="14" t="str">
        <f t="shared" si="12"/>
        <v/>
      </c>
      <c r="C203" s="14" t="str">
        <f t="shared" si="13"/>
        <v/>
      </c>
      <c r="D203" s="14" t="str">
        <f t="shared" si="14"/>
        <v/>
      </c>
      <c r="E203" s="14" t="str">
        <f t="shared" si="15"/>
        <v/>
      </c>
      <c r="F203" s="14" t="str">
        <f t="shared" si="16"/>
        <v/>
      </c>
    </row>
    <row r="204" spans="1:6">
      <c r="A204" s="7" t="str">
        <f t="shared" si="17"/>
        <v/>
      </c>
      <c r="B204" s="14" t="str">
        <f t="shared" si="12"/>
        <v/>
      </c>
      <c r="C204" s="14" t="str">
        <f t="shared" si="13"/>
        <v/>
      </c>
      <c r="D204" s="14" t="str">
        <f t="shared" si="14"/>
        <v/>
      </c>
      <c r="E204" s="14" t="str">
        <f t="shared" si="15"/>
        <v/>
      </c>
      <c r="F204" s="14" t="str">
        <f t="shared" si="16"/>
        <v/>
      </c>
    </row>
    <row r="205" spans="1:6">
      <c r="A205" s="7" t="str">
        <f t="shared" si="17"/>
        <v/>
      </c>
      <c r="B205" s="14" t="str">
        <f t="shared" si="12"/>
        <v/>
      </c>
      <c r="C205" s="14" t="str">
        <f t="shared" si="13"/>
        <v/>
      </c>
      <c r="D205" s="14" t="str">
        <f t="shared" si="14"/>
        <v/>
      </c>
      <c r="E205" s="14" t="str">
        <f t="shared" si="15"/>
        <v/>
      </c>
      <c r="F205" s="14" t="str">
        <f t="shared" si="16"/>
        <v/>
      </c>
    </row>
    <row r="206" spans="1:6">
      <c r="A206" s="7" t="str">
        <f t="shared" si="17"/>
        <v/>
      </c>
      <c r="B206" s="14" t="str">
        <f t="shared" si="12"/>
        <v/>
      </c>
      <c r="C206" s="14" t="str">
        <f t="shared" si="13"/>
        <v/>
      </c>
      <c r="D206" s="14" t="str">
        <f t="shared" si="14"/>
        <v/>
      </c>
      <c r="E206" s="14" t="str">
        <f t="shared" si="15"/>
        <v/>
      </c>
      <c r="F206" s="14" t="str">
        <f t="shared" si="16"/>
        <v/>
      </c>
    </row>
    <row r="207" spans="1:6">
      <c r="A207" s="7" t="str">
        <f t="shared" si="17"/>
        <v/>
      </c>
      <c r="B207" s="14" t="str">
        <f t="shared" si="12"/>
        <v/>
      </c>
      <c r="C207" s="14" t="str">
        <f t="shared" si="13"/>
        <v/>
      </c>
      <c r="D207" s="14" t="str">
        <f t="shared" si="14"/>
        <v/>
      </c>
      <c r="E207" s="14" t="str">
        <f t="shared" si="15"/>
        <v/>
      </c>
      <c r="F207" s="14" t="str">
        <f t="shared" si="16"/>
        <v/>
      </c>
    </row>
    <row r="208" spans="1:6">
      <c r="A208" s="7" t="str">
        <f t="shared" si="17"/>
        <v/>
      </c>
      <c r="B208" s="14" t="str">
        <f t="shared" si="12"/>
        <v/>
      </c>
      <c r="C208" s="14" t="str">
        <f t="shared" si="13"/>
        <v/>
      </c>
      <c r="D208" s="14" t="str">
        <f t="shared" si="14"/>
        <v/>
      </c>
      <c r="E208" s="14" t="str">
        <f t="shared" si="15"/>
        <v/>
      </c>
      <c r="F208" s="14" t="str">
        <f t="shared" si="16"/>
        <v/>
      </c>
    </row>
    <row r="209" spans="1:6">
      <c r="A209" s="7" t="str">
        <f t="shared" si="17"/>
        <v/>
      </c>
      <c r="B209" s="14" t="str">
        <f t="shared" si="12"/>
        <v/>
      </c>
      <c r="C209" s="14" t="str">
        <f t="shared" si="13"/>
        <v/>
      </c>
      <c r="D209" s="14" t="str">
        <f t="shared" si="14"/>
        <v/>
      </c>
      <c r="E209" s="14" t="str">
        <f t="shared" si="15"/>
        <v/>
      </c>
      <c r="F209" s="14" t="str">
        <f t="shared" si="16"/>
        <v/>
      </c>
    </row>
    <row r="210" spans="1:6">
      <c r="A210" s="7" t="str">
        <f t="shared" si="17"/>
        <v/>
      </c>
      <c r="B210" s="14" t="str">
        <f t="shared" si="12"/>
        <v/>
      </c>
      <c r="C210" s="14" t="str">
        <f t="shared" si="13"/>
        <v/>
      </c>
      <c r="D210" s="14" t="str">
        <f t="shared" si="14"/>
        <v/>
      </c>
      <c r="E210" s="14" t="str">
        <f t="shared" si="15"/>
        <v/>
      </c>
      <c r="F210" s="14" t="str">
        <f t="shared" si="16"/>
        <v/>
      </c>
    </row>
    <row r="211" spans="1:6">
      <c r="A211" s="7" t="str">
        <f t="shared" si="17"/>
        <v/>
      </c>
      <c r="B211" s="14" t="str">
        <f t="shared" si="12"/>
        <v/>
      </c>
      <c r="C211" s="14" t="str">
        <f t="shared" si="13"/>
        <v/>
      </c>
      <c r="D211" s="14" t="str">
        <f t="shared" si="14"/>
        <v/>
      </c>
      <c r="E211" s="14" t="str">
        <f t="shared" si="15"/>
        <v/>
      </c>
      <c r="F211" s="14" t="str">
        <f t="shared" si="16"/>
        <v/>
      </c>
    </row>
    <row r="212" spans="1:6">
      <c r="A212" s="7" t="str">
        <f t="shared" si="17"/>
        <v/>
      </c>
      <c r="B212" s="14" t="str">
        <f t="shared" ref="B212:B275" si="18">IF(A212&lt;=$E$9,C212+D212,"")</f>
        <v/>
      </c>
      <c r="C212" s="14" t="str">
        <f t="shared" ref="C212:C275" si="19">IF(A212&lt;=$E$9,F211*($E$8/$E$10),"")</f>
        <v/>
      </c>
      <c r="D212" s="14" t="str">
        <f t="shared" ref="D212:D275" si="20">IF(A212&lt;=$E$9,$E$13-C212,"")</f>
        <v/>
      </c>
      <c r="E212" s="14" t="str">
        <f t="shared" ref="E212:E275" si="21">IF(A212&lt;=$E$9,E211+D212,"")</f>
        <v/>
      </c>
      <c r="F212" s="14" t="str">
        <f t="shared" ref="F212:F275" si="22">IF(A212&lt;=$E$9,ROUND(($F$19-E212),2),"")</f>
        <v/>
      </c>
    </row>
    <row r="213" spans="1:6">
      <c r="A213" s="7" t="str">
        <f t="shared" ref="A213:A276" si="23">IF(A212&lt;$E$9,A212+1,"")</f>
        <v/>
      </c>
      <c r="B213" s="14" t="str">
        <f t="shared" si="18"/>
        <v/>
      </c>
      <c r="C213" s="14" t="str">
        <f t="shared" si="19"/>
        <v/>
      </c>
      <c r="D213" s="14" t="str">
        <f t="shared" si="20"/>
        <v/>
      </c>
      <c r="E213" s="14" t="str">
        <f t="shared" si="21"/>
        <v/>
      </c>
      <c r="F213" s="14" t="str">
        <f t="shared" si="22"/>
        <v/>
      </c>
    </row>
    <row r="214" spans="1:6">
      <c r="A214" s="7" t="str">
        <f t="shared" si="23"/>
        <v/>
      </c>
      <c r="B214" s="14" t="str">
        <f t="shared" si="18"/>
        <v/>
      </c>
      <c r="C214" s="14" t="str">
        <f t="shared" si="19"/>
        <v/>
      </c>
      <c r="D214" s="14" t="str">
        <f t="shared" si="20"/>
        <v/>
      </c>
      <c r="E214" s="14" t="str">
        <f t="shared" si="21"/>
        <v/>
      </c>
      <c r="F214" s="14" t="str">
        <f t="shared" si="22"/>
        <v/>
      </c>
    </row>
    <row r="215" spans="1:6">
      <c r="A215" s="7" t="str">
        <f t="shared" si="23"/>
        <v/>
      </c>
      <c r="B215" s="14" t="str">
        <f t="shared" si="18"/>
        <v/>
      </c>
      <c r="C215" s="14" t="str">
        <f t="shared" si="19"/>
        <v/>
      </c>
      <c r="D215" s="14" t="str">
        <f t="shared" si="20"/>
        <v/>
      </c>
      <c r="E215" s="14" t="str">
        <f t="shared" si="21"/>
        <v/>
      </c>
      <c r="F215" s="14" t="str">
        <f t="shared" si="22"/>
        <v/>
      </c>
    </row>
    <row r="216" spans="1:6">
      <c r="A216" s="7" t="str">
        <f t="shared" si="23"/>
        <v/>
      </c>
      <c r="B216" s="14" t="str">
        <f t="shared" si="18"/>
        <v/>
      </c>
      <c r="C216" s="14" t="str">
        <f t="shared" si="19"/>
        <v/>
      </c>
      <c r="D216" s="14" t="str">
        <f t="shared" si="20"/>
        <v/>
      </c>
      <c r="E216" s="14" t="str">
        <f t="shared" si="21"/>
        <v/>
      </c>
      <c r="F216" s="14" t="str">
        <f t="shared" si="22"/>
        <v/>
      </c>
    </row>
    <row r="217" spans="1:6">
      <c r="A217" s="7" t="str">
        <f t="shared" si="23"/>
        <v/>
      </c>
      <c r="B217" s="14" t="str">
        <f t="shared" si="18"/>
        <v/>
      </c>
      <c r="C217" s="14" t="str">
        <f t="shared" si="19"/>
        <v/>
      </c>
      <c r="D217" s="14" t="str">
        <f t="shared" si="20"/>
        <v/>
      </c>
      <c r="E217" s="14" t="str">
        <f t="shared" si="21"/>
        <v/>
      </c>
      <c r="F217" s="14" t="str">
        <f t="shared" si="22"/>
        <v/>
      </c>
    </row>
    <row r="218" spans="1:6">
      <c r="A218" s="7" t="str">
        <f t="shared" si="23"/>
        <v/>
      </c>
      <c r="B218" s="14" t="str">
        <f t="shared" si="18"/>
        <v/>
      </c>
      <c r="C218" s="14" t="str">
        <f t="shared" si="19"/>
        <v/>
      </c>
      <c r="D218" s="14" t="str">
        <f t="shared" si="20"/>
        <v/>
      </c>
      <c r="E218" s="14" t="str">
        <f t="shared" si="21"/>
        <v/>
      </c>
      <c r="F218" s="14" t="str">
        <f t="shared" si="22"/>
        <v/>
      </c>
    </row>
    <row r="219" spans="1:6">
      <c r="A219" s="7" t="str">
        <f t="shared" si="23"/>
        <v/>
      </c>
      <c r="B219" s="14" t="str">
        <f t="shared" si="18"/>
        <v/>
      </c>
      <c r="C219" s="14" t="str">
        <f t="shared" si="19"/>
        <v/>
      </c>
      <c r="D219" s="14" t="str">
        <f t="shared" si="20"/>
        <v/>
      </c>
      <c r="E219" s="14" t="str">
        <f t="shared" si="21"/>
        <v/>
      </c>
      <c r="F219" s="14" t="str">
        <f t="shared" si="22"/>
        <v/>
      </c>
    </row>
    <row r="220" spans="1:6">
      <c r="A220" s="7" t="str">
        <f t="shared" si="23"/>
        <v/>
      </c>
      <c r="B220" s="14" t="str">
        <f t="shared" si="18"/>
        <v/>
      </c>
      <c r="C220" s="14" t="str">
        <f t="shared" si="19"/>
        <v/>
      </c>
      <c r="D220" s="14" t="str">
        <f t="shared" si="20"/>
        <v/>
      </c>
      <c r="E220" s="14" t="str">
        <f t="shared" si="21"/>
        <v/>
      </c>
      <c r="F220" s="14" t="str">
        <f t="shared" si="22"/>
        <v/>
      </c>
    </row>
    <row r="221" spans="1:6">
      <c r="A221" s="7" t="str">
        <f t="shared" si="23"/>
        <v/>
      </c>
      <c r="B221" s="14" t="str">
        <f t="shared" si="18"/>
        <v/>
      </c>
      <c r="C221" s="14" t="str">
        <f t="shared" si="19"/>
        <v/>
      </c>
      <c r="D221" s="14" t="str">
        <f t="shared" si="20"/>
        <v/>
      </c>
      <c r="E221" s="14" t="str">
        <f t="shared" si="21"/>
        <v/>
      </c>
      <c r="F221" s="14" t="str">
        <f t="shared" si="22"/>
        <v/>
      </c>
    </row>
    <row r="222" spans="1:6">
      <c r="A222" s="7" t="str">
        <f t="shared" si="23"/>
        <v/>
      </c>
      <c r="B222" s="14" t="str">
        <f t="shared" si="18"/>
        <v/>
      </c>
      <c r="C222" s="14" t="str">
        <f t="shared" si="19"/>
        <v/>
      </c>
      <c r="D222" s="14" t="str">
        <f t="shared" si="20"/>
        <v/>
      </c>
      <c r="E222" s="14" t="str">
        <f t="shared" si="21"/>
        <v/>
      </c>
      <c r="F222" s="14" t="str">
        <f t="shared" si="22"/>
        <v/>
      </c>
    </row>
    <row r="223" spans="1:6">
      <c r="A223" s="7" t="str">
        <f t="shared" si="23"/>
        <v/>
      </c>
      <c r="B223" s="14" t="str">
        <f t="shared" si="18"/>
        <v/>
      </c>
      <c r="C223" s="14" t="str">
        <f t="shared" si="19"/>
        <v/>
      </c>
      <c r="D223" s="14" t="str">
        <f t="shared" si="20"/>
        <v/>
      </c>
      <c r="E223" s="14" t="str">
        <f t="shared" si="21"/>
        <v/>
      </c>
      <c r="F223" s="14" t="str">
        <f t="shared" si="22"/>
        <v/>
      </c>
    </row>
    <row r="224" spans="1:6">
      <c r="A224" s="7" t="str">
        <f t="shared" si="23"/>
        <v/>
      </c>
      <c r="B224" s="14" t="str">
        <f t="shared" si="18"/>
        <v/>
      </c>
      <c r="C224" s="14" t="str">
        <f t="shared" si="19"/>
        <v/>
      </c>
      <c r="D224" s="14" t="str">
        <f t="shared" si="20"/>
        <v/>
      </c>
      <c r="E224" s="14" t="str">
        <f t="shared" si="21"/>
        <v/>
      </c>
      <c r="F224" s="14" t="str">
        <f t="shared" si="22"/>
        <v/>
      </c>
    </row>
    <row r="225" spans="1:6">
      <c r="A225" s="7" t="str">
        <f t="shared" si="23"/>
        <v/>
      </c>
      <c r="B225" s="14" t="str">
        <f t="shared" si="18"/>
        <v/>
      </c>
      <c r="C225" s="14" t="str">
        <f t="shared" si="19"/>
        <v/>
      </c>
      <c r="D225" s="14" t="str">
        <f t="shared" si="20"/>
        <v/>
      </c>
      <c r="E225" s="14" t="str">
        <f t="shared" si="21"/>
        <v/>
      </c>
      <c r="F225" s="14" t="str">
        <f t="shared" si="22"/>
        <v/>
      </c>
    </row>
    <row r="226" spans="1:6">
      <c r="A226" s="7" t="str">
        <f t="shared" si="23"/>
        <v/>
      </c>
      <c r="B226" s="14" t="str">
        <f t="shared" si="18"/>
        <v/>
      </c>
      <c r="C226" s="14" t="str">
        <f t="shared" si="19"/>
        <v/>
      </c>
      <c r="D226" s="14" t="str">
        <f t="shared" si="20"/>
        <v/>
      </c>
      <c r="E226" s="14" t="str">
        <f t="shared" si="21"/>
        <v/>
      </c>
      <c r="F226" s="14" t="str">
        <f t="shared" si="22"/>
        <v/>
      </c>
    </row>
    <row r="227" spans="1:6">
      <c r="A227" s="7" t="str">
        <f t="shared" si="23"/>
        <v/>
      </c>
      <c r="B227" s="14" t="str">
        <f t="shared" si="18"/>
        <v/>
      </c>
      <c r="C227" s="14" t="str">
        <f t="shared" si="19"/>
        <v/>
      </c>
      <c r="D227" s="14" t="str">
        <f t="shared" si="20"/>
        <v/>
      </c>
      <c r="E227" s="14" t="str">
        <f t="shared" si="21"/>
        <v/>
      </c>
      <c r="F227" s="14" t="str">
        <f t="shared" si="22"/>
        <v/>
      </c>
    </row>
    <row r="228" spans="1:6">
      <c r="A228" s="7" t="str">
        <f t="shared" si="23"/>
        <v/>
      </c>
      <c r="B228" s="14" t="str">
        <f t="shared" si="18"/>
        <v/>
      </c>
      <c r="C228" s="14" t="str">
        <f t="shared" si="19"/>
        <v/>
      </c>
      <c r="D228" s="14" t="str">
        <f t="shared" si="20"/>
        <v/>
      </c>
      <c r="E228" s="14" t="str">
        <f t="shared" si="21"/>
        <v/>
      </c>
      <c r="F228" s="14" t="str">
        <f t="shared" si="22"/>
        <v/>
      </c>
    </row>
    <row r="229" spans="1:6">
      <c r="A229" s="7" t="str">
        <f t="shared" si="23"/>
        <v/>
      </c>
      <c r="B229" s="14" t="str">
        <f t="shared" si="18"/>
        <v/>
      </c>
      <c r="C229" s="14" t="str">
        <f t="shared" si="19"/>
        <v/>
      </c>
      <c r="D229" s="14" t="str">
        <f t="shared" si="20"/>
        <v/>
      </c>
      <c r="E229" s="14" t="str">
        <f t="shared" si="21"/>
        <v/>
      </c>
      <c r="F229" s="14" t="str">
        <f t="shared" si="22"/>
        <v/>
      </c>
    </row>
    <row r="230" spans="1:6">
      <c r="A230" s="7" t="str">
        <f t="shared" si="23"/>
        <v/>
      </c>
      <c r="B230" s="14" t="str">
        <f t="shared" si="18"/>
        <v/>
      </c>
      <c r="C230" s="14" t="str">
        <f t="shared" si="19"/>
        <v/>
      </c>
      <c r="D230" s="14" t="str">
        <f t="shared" si="20"/>
        <v/>
      </c>
      <c r="E230" s="14" t="str">
        <f t="shared" si="21"/>
        <v/>
      </c>
      <c r="F230" s="14" t="str">
        <f t="shared" si="22"/>
        <v/>
      </c>
    </row>
    <row r="231" spans="1:6">
      <c r="A231" s="7" t="str">
        <f t="shared" si="23"/>
        <v/>
      </c>
      <c r="B231" s="14" t="str">
        <f t="shared" si="18"/>
        <v/>
      </c>
      <c r="C231" s="14" t="str">
        <f t="shared" si="19"/>
        <v/>
      </c>
      <c r="D231" s="14" t="str">
        <f t="shared" si="20"/>
        <v/>
      </c>
      <c r="E231" s="14" t="str">
        <f t="shared" si="21"/>
        <v/>
      </c>
      <c r="F231" s="14" t="str">
        <f t="shared" si="22"/>
        <v/>
      </c>
    </row>
    <row r="232" spans="1:6">
      <c r="A232" s="7" t="str">
        <f t="shared" si="23"/>
        <v/>
      </c>
      <c r="B232" s="14" t="str">
        <f t="shared" si="18"/>
        <v/>
      </c>
      <c r="C232" s="14" t="str">
        <f t="shared" si="19"/>
        <v/>
      </c>
      <c r="D232" s="14" t="str">
        <f t="shared" si="20"/>
        <v/>
      </c>
      <c r="E232" s="14" t="str">
        <f t="shared" si="21"/>
        <v/>
      </c>
      <c r="F232" s="14" t="str">
        <f t="shared" si="22"/>
        <v/>
      </c>
    </row>
    <row r="233" spans="1:6">
      <c r="A233" s="7" t="str">
        <f t="shared" si="23"/>
        <v/>
      </c>
      <c r="B233" s="14" t="str">
        <f t="shared" si="18"/>
        <v/>
      </c>
      <c r="C233" s="14" t="str">
        <f t="shared" si="19"/>
        <v/>
      </c>
      <c r="D233" s="14" t="str">
        <f t="shared" si="20"/>
        <v/>
      </c>
      <c r="E233" s="14" t="str">
        <f t="shared" si="21"/>
        <v/>
      </c>
      <c r="F233" s="14" t="str">
        <f t="shared" si="22"/>
        <v/>
      </c>
    </row>
    <row r="234" spans="1:6">
      <c r="A234" s="7" t="str">
        <f t="shared" si="23"/>
        <v/>
      </c>
      <c r="B234" s="14" t="str">
        <f t="shared" si="18"/>
        <v/>
      </c>
      <c r="C234" s="14" t="str">
        <f t="shared" si="19"/>
        <v/>
      </c>
      <c r="D234" s="14" t="str">
        <f t="shared" si="20"/>
        <v/>
      </c>
      <c r="E234" s="14" t="str">
        <f t="shared" si="21"/>
        <v/>
      </c>
      <c r="F234" s="14" t="str">
        <f t="shared" si="22"/>
        <v/>
      </c>
    </row>
    <row r="235" spans="1:6">
      <c r="A235" s="7" t="str">
        <f t="shared" si="23"/>
        <v/>
      </c>
      <c r="B235" s="14" t="str">
        <f t="shared" si="18"/>
        <v/>
      </c>
      <c r="C235" s="14" t="str">
        <f t="shared" si="19"/>
        <v/>
      </c>
      <c r="D235" s="14" t="str">
        <f t="shared" si="20"/>
        <v/>
      </c>
      <c r="E235" s="14" t="str">
        <f t="shared" si="21"/>
        <v/>
      </c>
      <c r="F235" s="14" t="str">
        <f t="shared" si="22"/>
        <v/>
      </c>
    </row>
    <row r="236" spans="1:6">
      <c r="A236" s="7" t="str">
        <f t="shared" si="23"/>
        <v/>
      </c>
      <c r="B236" s="14" t="str">
        <f t="shared" si="18"/>
        <v/>
      </c>
      <c r="C236" s="14" t="str">
        <f t="shared" si="19"/>
        <v/>
      </c>
      <c r="D236" s="14" t="str">
        <f t="shared" si="20"/>
        <v/>
      </c>
      <c r="E236" s="14" t="str">
        <f t="shared" si="21"/>
        <v/>
      </c>
      <c r="F236" s="14" t="str">
        <f t="shared" si="22"/>
        <v/>
      </c>
    </row>
    <row r="237" spans="1:6">
      <c r="A237" s="7" t="str">
        <f t="shared" si="23"/>
        <v/>
      </c>
      <c r="B237" s="14" t="str">
        <f t="shared" si="18"/>
        <v/>
      </c>
      <c r="C237" s="14" t="str">
        <f t="shared" si="19"/>
        <v/>
      </c>
      <c r="D237" s="14" t="str">
        <f t="shared" si="20"/>
        <v/>
      </c>
      <c r="E237" s="14" t="str">
        <f t="shared" si="21"/>
        <v/>
      </c>
      <c r="F237" s="14" t="str">
        <f t="shared" si="22"/>
        <v/>
      </c>
    </row>
    <row r="238" spans="1:6">
      <c r="A238" s="7" t="str">
        <f t="shared" si="23"/>
        <v/>
      </c>
      <c r="B238" s="14" t="str">
        <f t="shared" si="18"/>
        <v/>
      </c>
      <c r="C238" s="14" t="str">
        <f t="shared" si="19"/>
        <v/>
      </c>
      <c r="D238" s="14" t="str">
        <f t="shared" si="20"/>
        <v/>
      </c>
      <c r="E238" s="14" t="str">
        <f t="shared" si="21"/>
        <v/>
      </c>
      <c r="F238" s="14" t="str">
        <f t="shared" si="22"/>
        <v/>
      </c>
    </row>
    <row r="239" spans="1:6">
      <c r="A239" s="7" t="str">
        <f t="shared" si="23"/>
        <v/>
      </c>
      <c r="B239" s="14" t="str">
        <f t="shared" si="18"/>
        <v/>
      </c>
      <c r="C239" s="14" t="str">
        <f t="shared" si="19"/>
        <v/>
      </c>
      <c r="D239" s="14" t="str">
        <f t="shared" si="20"/>
        <v/>
      </c>
      <c r="E239" s="14" t="str">
        <f t="shared" si="21"/>
        <v/>
      </c>
      <c r="F239" s="14" t="str">
        <f t="shared" si="22"/>
        <v/>
      </c>
    </row>
    <row r="240" spans="1:6">
      <c r="A240" s="7" t="str">
        <f t="shared" si="23"/>
        <v/>
      </c>
      <c r="B240" s="14" t="str">
        <f t="shared" si="18"/>
        <v/>
      </c>
      <c r="C240" s="14" t="str">
        <f t="shared" si="19"/>
        <v/>
      </c>
      <c r="D240" s="14" t="str">
        <f t="shared" si="20"/>
        <v/>
      </c>
      <c r="E240" s="14" t="str">
        <f t="shared" si="21"/>
        <v/>
      </c>
      <c r="F240" s="14" t="str">
        <f t="shared" si="22"/>
        <v/>
      </c>
    </row>
    <row r="241" spans="1:6">
      <c r="A241" s="7" t="str">
        <f t="shared" si="23"/>
        <v/>
      </c>
      <c r="B241" s="14" t="str">
        <f t="shared" si="18"/>
        <v/>
      </c>
      <c r="C241" s="14" t="str">
        <f t="shared" si="19"/>
        <v/>
      </c>
      <c r="D241" s="14" t="str">
        <f t="shared" si="20"/>
        <v/>
      </c>
      <c r="E241" s="14" t="str">
        <f t="shared" si="21"/>
        <v/>
      </c>
      <c r="F241" s="14" t="str">
        <f t="shared" si="22"/>
        <v/>
      </c>
    </row>
    <row r="242" spans="1:6">
      <c r="A242" s="7" t="str">
        <f t="shared" si="23"/>
        <v/>
      </c>
      <c r="B242" s="14" t="str">
        <f t="shared" si="18"/>
        <v/>
      </c>
      <c r="C242" s="14" t="str">
        <f t="shared" si="19"/>
        <v/>
      </c>
      <c r="D242" s="14" t="str">
        <f t="shared" si="20"/>
        <v/>
      </c>
      <c r="E242" s="14" t="str">
        <f t="shared" si="21"/>
        <v/>
      </c>
      <c r="F242" s="14" t="str">
        <f t="shared" si="22"/>
        <v/>
      </c>
    </row>
    <row r="243" spans="1:6">
      <c r="A243" s="7" t="str">
        <f t="shared" si="23"/>
        <v/>
      </c>
      <c r="B243" s="14" t="str">
        <f t="shared" si="18"/>
        <v/>
      </c>
      <c r="C243" s="14" t="str">
        <f t="shared" si="19"/>
        <v/>
      </c>
      <c r="D243" s="14" t="str">
        <f t="shared" si="20"/>
        <v/>
      </c>
      <c r="E243" s="14" t="str">
        <f t="shared" si="21"/>
        <v/>
      </c>
      <c r="F243" s="14" t="str">
        <f t="shared" si="22"/>
        <v/>
      </c>
    </row>
    <row r="244" spans="1:6">
      <c r="A244" s="7" t="str">
        <f t="shared" si="23"/>
        <v/>
      </c>
      <c r="B244" s="14" t="str">
        <f t="shared" si="18"/>
        <v/>
      </c>
      <c r="C244" s="14" t="str">
        <f t="shared" si="19"/>
        <v/>
      </c>
      <c r="D244" s="14" t="str">
        <f t="shared" si="20"/>
        <v/>
      </c>
      <c r="E244" s="14" t="str">
        <f t="shared" si="21"/>
        <v/>
      </c>
      <c r="F244" s="14" t="str">
        <f t="shared" si="22"/>
        <v/>
      </c>
    </row>
    <row r="245" spans="1:6">
      <c r="A245" s="7" t="str">
        <f t="shared" si="23"/>
        <v/>
      </c>
      <c r="B245" s="14" t="str">
        <f t="shared" si="18"/>
        <v/>
      </c>
      <c r="C245" s="14" t="str">
        <f t="shared" si="19"/>
        <v/>
      </c>
      <c r="D245" s="14" t="str">
        <f t="shared" si="20"/>
        <v/>
      </c>
      <c r="E245" s="14" t="str">
        <f t="shared" si="21"/>
        <v/>
      </c>
      <c r="F245" s="14" t="str">
        <f t="shared" si="22"/>
        <v/>
      </c>
    </row>
    <row r="246" spans="1:6">
      <c r="A246" s="7" t="str">
        <f t="shared" si="23"/>
        <v/>
      </c>
      <c r="B246" s="14" t="str">
        <f t="shared" si="18"/>
        <v/>
      </c>
      <c r="C246" s="14" t="str">
        <f t="shared" si="19"/>
        <v/>
      </c>
      <c r="D246" s="14" t="str">
        <f t="shared" si="20"/>
        <v/>
      </c>
      <c r="E246" s="14" t="str">
        <f t="shared" si="21"/>
        <v/>
      </c>
      <c r="F246" s="14" t="str">
        <f t="shared" si="22"/>
        <v/>
      </c>
    </row>
    <row r="247" spans="1:6">
      <c r="A247" s="7" t="str">
        <f t="shared" si="23"/>
        <v/>
      </c>
      <c r="B247" s="14" t="str">
        <f t="shared" si="18"/>
        <v/>
      </c>
      <c r="C247" s="14" t="str">
        <f t="shared" si="19"/>
        <v/>
      </c>
      <c r="D247" s="14" t="str">
        <f t="shared" si="20"/>
        <v/>
      </c>
      <c r="E247" s="14" t="str">
        <f t="shared" si="21"/>
        <v/>
      </c>
      <c r="F247" s="14" t="str">
        <f t="shared" si="22"/>
        <v/>
      </c>
    </row>
    <row r="248" spans="1:6">
      <c r="A248" s="7" t="str">
        <f t="shared" si="23"/>
        <v/>
      </c>
      <c r="B248" s="14" t="str">
        <f t="shared" si="18"/>
        <v/>
      </c>
      <c r="C248" s="14" t="str">
        <f t="shared" si="19"/>
        <v/>
      </c>
      <c r="D248" s="14" t="str">
        <f t="shared" si="20"/>
        <v/>
      </c>
      <c r="E248" s="14" t="str">
        <f t="shared" si="21"/>
        <v/>
      </c>
      <c r="F248" s="14" t="str">
        <f t="shared" si="22"/>
        <v/>
      </c>
    </row>
    <row r="249" spans="1:6">
      <c r="A249" s="7" t="str">
        <f t="shared" si="23"/>
        <v/>
      </c>
      <c r="B249" s="14" t="str">
        <f t="shared" si="18"/>
        <v/>
      </c>
      <c r="C249" s="14" t="str">
        <f t="shared" si="19"/>
        <v/>
      </c>
      <c r="D249" s="14" t="str">
        <f t="shared" si="20"/>
        <v/>
      </c>
      <c r="E249" s="14" t="str">
        <f t="shared" si="21"/>
        <v/>
      </c>
      <c r="F249" s="14" t="str">
        <f t="shared" si="22"/>
        <v/>
      </c>
    </row>
    <row r="250" spans="1:6">
      <c r="A250" s="7" t="str">
        <f t="shared" si="23"/>
        <v/>
      </c>
      <c r="B250" s="14" t="str">
        <f t="shared" si="18"/>
        <v/>
      </c>
      <c r="C250" s="14" t="str">
        <f t="shared" si="19"/>
        <v/>
      </c>
      <c r="D250" s="14" t="str">
        <f t="shared" si="20"/>
        <v/>
      </c>
      <c r="E250" s="14" t="str">
        <f t="shared" si="21"/>
        <v/>
      </c>
      <c r="F250" s="14" t="str">
        <f t="shared" si="22"/>
        <v/>
      </c>
    </row>
    <row r="251" spans="1:6">
      <c r="A251" s="7" t="str">
        <f t="shared" si="23"/>
        <v/>
      </c>
      <c r="B251" s="14" t="str">
        <f t="shared" si="18"/>
        <v/>
      </c>
      <c r="C251" s="14" t="str">
        <f t="shared" si="19"/>
        <v/>
      </c>
      <c r="D251" s="14" t="str">
        <f t="shared" si="20"/>
        <v/>
      </c>
      <c r="E251" s="14" t="str">
        <f t="shared" si="21"/>
        <v/>
      </c>
      <c r="F251" s="14" t="str">
        <f t="shared" si="22"/>
        <v/>
      </c>
    </row>
    <row r="252" spans="1:6">
      <c r="A252" s="7" t="str">
        <f t="shared" si="23"/>
        <v/>
      </c>
      <c r="B252" s="14" t="str">
        <f t="shared" si="18"/>
        <v/>
      </c>
      <c r="C252" s="14" t="str">
        <f t="shared" si="19"/>
        <v/>
      </c>
      <c r="D252" s="14" t="str">
        <f t="shared" si="20"/>
        <v/>
      </c>
      <c r="E252" s="14" t="str">
        <f t="shared" si="21"/>
        <v/>
      </c>
      <c r="F252" s="14" t="str">
        <f t="shared" si="22"/>
        <v/>
      </c>
    </row>
    <row r="253" spans="1:6">
      <c r="A253" s="7" t="str">
        <f t="shared" si="23"/>
        <v/>
      </c>
      <c r="B253" s="14" t="str">
        <f t="shared" si="18"/>
        <v/>
      </c>
      <c r="C253" s="14" t="str">
        <f t="shared" si="19"/>
        <v/>
      </c>
      <c r="D253" s="14" t="str">
        <f t="shared" si="20"/>
        <v/>
      </c>
      <c r="E253" s="14" t="str">
        <f t="shared" si="21"/>
        <v/>
      </c>
      <c r="F253" s="14" t="str">
        <f t="shared" si="22"/>
        <v/>
      </c>
    </row>
    <row r="254" spans="1:6">
      <c r="A254" s="7" t="str">
        <f t="shared" si="23"/>
        <v/>
      </c>
      <c r="B254" s="14" t="str">
        <f t="shared" si="18"/>
        <v/>
      </c>
      <c r="C254" s="14" t="str">
        <f t="shared" si="19"/>
        <v/>
      </c>
      <c r="D254" s="14" t="str">
        <f t="shared" si="20"/>
        <v/>
      </c>
      <c r="E254" s="14" t="str">
        <f t="shared" si="21"/>
        <v/>
      </c>
      <c r="F254" s="14" t="str">
        <f t="shared" si="22"/>
        <v/>
      </c>
    </row>
    <row r="255" spans="1:6">
      <c r="A255" s="7" t="str">
        <f t="shared" si="23"/>
        <v/>
      </c>
      <c r="B255" s="14" t="str">
        <f t="shared" si="18"/>
        <v/>
      </c>
      <c r="C255" s="14" t="str">
        <f t="shared" si="19"/>
        <v/>
      </c>
      <c r="D255" s="14" t="str">
        <f t="shared" si="20"/>
        <v/>
      </c>
      <c r="E255" s="14" t="str">
        <f t="shared" si="21"/>
        <v/>
      </c>
      <c r="F255" s="14" t="str">
        <f t="shared" si="22"/>
        <v/>
      </c>
    </row>
    <row r="256" spans="1:6">
      <c r="A256" s="7" t="str">
        <f t="shared" si="23"/>
        <v/>
      </c>
      <c r="B256" s="14" t="str">
        <f t="shared" si="18"/>
        <v/>
      </c>
      <c r="C256" s="14" t="str">
        <f t="shared" si="19"/>
        <v/>
      </c>
      <c r="D256" s="14" t="str">
        <f t="shared" si="20"/>
        <v/>
      </c>
      <c r="E256" s="14" t="str">
        <f t="shared" si="21"/>
        <v/>
      </c>
      <c r="F256" s="14" t="str">
        <f t="shared" si="22"/>
        <v/>
      </c>
    </row>
    <row r="257" spans="1:6">
      <c r="A257" s="7" t="str">
        <f t="shared" si="23"/>
        <v/>
      </c>
      <c r="B257" s="14" t="str">
        <f t="shared" si="18"/>
        <v/>
      </c>
      <c r="C257" s="14" t="str">
        <f t="shared" si="19"/>
        <v/>
      </c>
      <c r="D257" s="14" t="str">
        <f t="shared" si="20"/>
        <v/>
      </c>
      <c r="E257" s="14" t="str">
        <f t="shared" si="21"/>
        <v/>
      </c>
      <c r="F257" s="14" t="str">
        <f t="shared" si="22"/>
        <v/>
      </c>
    </row>
    <row r="258" spans="1:6">
      <c r="A258" s="7" t="str">
        <f t="shared" si="23"/>
        <v/>
      </c>
      <c r="B258" s="14" t="str">
        <f t="shared" si="18"/>
        <v/>
      </c>
      <c r="C258" s="14" t="str">
        <f t="shared" si="19"/>
        <v/>
      </c>
      <c r="D258" s="14" t="str">
        <f t="shared" si="20"/>
        <v/>
      </c>
      <c r="E258" s="14" t="str">
        <f t="shared" si="21"/>
        <v/>
      </c>
      <c r="F258" s="14" t="str">
        <f t="shared" si="22"/>
        <v/>
      </c>
    </row>
    <row r="259" spans="1:6">
      <c r="A259" s="7" t="str">
        <f t="shared" si="23"/>
        <v/>
      </c>
      <c r="B259" s="14" t="str">
        <f t="shared" si="18"/>
        <v/>
      </c>
      <c r="C259" s="14" t="str">
        <f t="shared" si="19"/>
        <v/>
      </c>
      <c r="D259" s="14" t="str">
        <f t="shared" si="20"/>
        <v/>
      </c>
      <c r="E259" s="14" t="str">
        <f t="shared" si="21"/>
        <v/>
      </c>
      <c r="F259" s="14" t="str">
        <f t="shared" si="22"/>
        <v/>
      </c>
    </row>
    <row r="260" spans="1:6">
      <c r="A260" s="7" t="str">
        <f t="shared" si="23"/>
        <v/>
      </c>
      <c r="B260" s="14" t="str">
        <f t="shared" si="18"/>
        <v/>
      </c>
      <c r="C260" s="14" t="str">
        <f t="shared" si="19"/>
        <v/>
      </c>
      <c r="D260" s="14" t="str">
        <f t="shared" si="20"/>
        <v/>
      </c>
      <c r="E260" s="14" t="str">
        <f t="shared" si="21"/>
        <v/>
      </c>
      <c r="F260" s="14" t="str">
        <f t="shared" si="22"/>
        <v/>
      </c>
    </row>
    <row r="261" spans="1:6">
      <c r="A261" s="7" t="str">
        <f t="shared" si="23"/>
        <v/>
      </c>
      <c r="B261" s="14" t="str">
        <f t="shared" si="18"/>
        <v/>
      </c>
      <c r="C261" s="14" t="str">
        <f t="shared" si="19"/>
        <v/>
      </c>
      <c r="D261" s="14" t="str">
        <f t="shared" si="20"/>
        <v/>
      </c>
      <c r="E261" s="14" t="str">
        <f t="shared" si="21"/>
        <v/>
      </c>
      <c r="F261" s="14" t="str">
        <f t="shared" si="22"/>
        <v/>
      </c>
    </row>
    <row r="262" spans="1:6">
      <c r="A262" s="7" t="str">
        <f t="shared" si="23"/>
        <v/>
      </c>
      <c r="B262" s="14" t="str">
        <f t="shared" si="18"/>
        <v/>
      </c>
      <c r="C262" s="14" t="str">
        <f t="shared" si="19"/>
        <v/>
      </c>
      <c r="D262" s="14" t="str">
        <f t="shared" si="20"/>
        <v/>
      </c>
      <c r="E262" s="14" t="str">
        <f t="shared" si="21"/>
        <v/>
      </c>
      <c r="F262" s="14" t="str">
        <f t="shared" si="22"/>
        <v/>
      </c>
    </row>
    <row r="263" spans="1:6">
      <c r="A263" s="7" t="str">
        <f t="shared" si="23"/>
        <v/>
      </c>
      <c r="B263" s="14" t="str">
        <f t="shared" si="18"/>
        <v/>
      </c>
      <c r="C263" s="14" t="str">
        <f t="shared" si="19"/>
        <v/>
      </c>
      <c r="D263" s="14" t="str">
        <f t="shared" si="20"/>
        <v/>
      </c>
      <c r="E263" s="14" t="str">
        <f t="shared" si="21"/>
        <v/>
      </c>
      <c r="F263" s="14" t="str">
        <f t="shared" si="22"/>
        <v/>
      </c>
    </row>
    <row r="264" spans="1:6">
      <c r="A264" s="7" t="str">
        <f t="shared" si="23"/>
        <v/>
      </c>
      <c r="B264" s="14" t="str">
        <f t="shared" si="18"/>
        <v/>
      </c>
      <c r="C264" s="14" t="str">
        <f t="shared" si="19"/>
        <v/>
      </c>
      <c r="D264" s="14" t="str">
        <f t="shared" si="20"/>
        <v/>
      </c>
      <c r="E264" s="14" t="str">
        <f t="shared" si="21"/>
        <v/>
      </c>
      <c r="F264" s="14" t="str">
        <f t="shared" si="22"/>
        <v/>
      </c>
    </row>
    <row r="265" spans="1:6">
      <c r="A265" s="7" t="str">
        <f t="shared" si="23"/>
        <v/>
      </c>
      <c r="B265" s="14" t="str">
        <f t="shared" si="18"/>
        <v/>
      </c>
      <c r="C265" s="14" t="str">
        <f t="shared" si="19"/>
        <v/>
      </c>
      <c r="D265" s="14" t="str">
        <f t="shared" si="20"/>
        <v/>
      </c>
      <c r="E265" s="14" t="str">
        <f t="shared" si="21"/>
        <v/>
      </c>
      <c r="F265" s="14" t="str">
        <f t="shared" si="22"/>
        <v/>
      </c>
    </row>
    <row r="266" spans="1:6">
      <c r="A266" s="7" t="str">
        <f t="shared" si="23"/>
        <v/>
      </c>
      <c r="B266" s="14" t="str">
        <f t="shared" si="18"/>
        <v/>
      </c>
      <c r="C266" s="14" t="str">
        <f t="shared" si="19"/>
        <v/>
      </c>
      <c r="D266" s="14" t="str">
        <f t="shared" si="20"/>
        <v/>
      </c>
      <c r="E266" s="14" t="str">
        <f t="shared" si="21"/>
        <v/>
      </c>
      <c r="F266" s="14" t="str">
        <f t="shared" si="22"/>
        <v/>
      </c>
    </row>
    <row r="267" spans="1:6">
      <c r="A267" s="7" t="str">
        <f t="shared" si="23"/>
        <v/>
      </c>
      <c r="B267" s="14" t="str">
        <f t="shared" si="18"/>
        <v/>
      </c>
      <c r="C267" s="14" t="str">
        <f t="shared" si="19"/>
        <v/>
      </c>
      <c r="D267" s="14" t="str">
        <f t="shared" si="20"/>
        <v/>
      </c>
      <c r="E267" s="14" t="str">
        <f t="shared" si="21"/>
        <v/>
      </c>
      <c r="F267" s="14" t="str">
        <f t="shared" si="22"/>
        <v/>
      </c>
    </row>
    <row r="268" spans="1:6">
      <c r="A268" s="7" t="str">
        <f t="shared" si="23"/>
        <v/>
      </c>
      <c r="B268" s="14" t="str">
        <f t="shared" si="18"/>
        <v/>
      </c>
      <c r="C268" s="14" t="str">
        <f t="shared" si="19"/>
        <v/>
      </c>
      <c r="D268" s="14" t="str">
        <f t="shared" si="20"/>
        <v/>
      </c>
      <c r="E268" s="14" t="str">
        <f t="shared" si="21"/>
        <v/>
      </c>
      <c r="F268" s="14" t="str">
        <f t="shared" si="22"/>
        <v/>
      </c>
    </row>
    <row r="269" spans="1:6">
      <c r="A269" s="7" t="str">
        <f t="shared" si="23"/>
        <v/>
      </c>
      <c r="B269" s="14" t="str">
        <f t="shared" si="18"/>
        <v/>
      </c>
      <c r="C269" s="14" t="str">
        <f t="shared" si="19"/>
        <v/>
      </c>
      <c r="D269" s="14" t="str">
        <f t="shared" si="20"/>
        <v/>
      </c>
      <c r="E269" s="14" t="str">
        <f t="shared" si="21"/>
        <v/>
      </c>
      <c r="F269" s="14" t="str">
        <f t="shared" si="22"/>
        <v/>
      </c>
    </row>
    <row r="270" spans="1:6">
      <c r="A270" s="7" t="str">
        <f t="shared" si="23"/>
        <v/>
      </c>
      <c r="B270" s="14" t="str">
        <f t="shared" si="18"/>
        <v/>
      </c>
      <c r="C270" s="14" t="str">
        <f t="shared" si="19"/>
        <v/>
      </c>
      <c r="D270" s="14" t="str">
        <f t="shared" si="20"/>
        <v/>
      </c>
      <c r="E270" s="14" t="str">
        <f t="shared" si="21"/>
        <v/>
      </c>
      <c r="F270" s="14" t="str">
        <f t="shared" si="22"/>
        <v/>
      </c>
    </row>
    <row r="271" spans="1:6">
      <c r="A271" s="7" t="str">
        <f t="shared" si="23"/>
        <v/>
      </c>
      <c r="B271" s="14" t="str">
        <f t="shared" si="18"/>
        <v/>
      </c>
      <c r="C271" s="14" t="str">
        <f t="shared" si="19"/>
        <v/>
      </c>
      <c r="D271" s="14" t="str">
        <f t="shared" si="20"/>
        <v/>
      </c>
      <c r="E271" s="14" t="str">
        <f t="shared" si="21"/>
        <v/>
      </c>
      <c r="F271" s="14" t="str">
        <f t="shared" si="22"/>
        <v/>
      </c>
    </row>
    <row r="272" spans="1:6">
      <c r="A272" s="7" t="str">
        <f t="shared" si="23"/>
        <v/>
      </c>
      <c r="B272" s="14" t="str">
        <f t="shared" si="18"/>
        <v/>
      </c>
      <c r="C272" s="14" t="str">
        <f t="shared" si="19"/>
        <v/>
      </c>
      <c r="D272" s="14" t="str">
        <f t="shared" si="20"/>
        <v/>
      </c>
      <c r="E272" s="14" t="str">
        <f t="shared" si="21"/>
        <v/>
      </c>
      <c r="F272" s="14" t="str">
        <f t="shared" si="22"/>
        <v/>
      </c>
    </row>
    <row r="273" spans="1:6">
      <c r="A273" s="7" t="str">
        <f t="shared" si="23"/>
        <v/>
      </c>
      <c r="B273" s="14" t="str">
        <f t="shared" si="18"/>
        <v/>
      </c>
      <c r="C273" s="14" t="str">
        <f t="shared" si="19"/>
        <v/>
      </c>
      <c r="D273" s="14" t="str">
        <f t="shared" si="20"/>
        <v/>
      </c>
      <c r="E273" s="14" t="str">
        <f t="shared" si="21"/>
        <v/>
      </c>
      <c r="F273" s="14" t="str">
        <f t="shared" si="22"/>
        <v/>
      </c>
    </row>
    <row r="274" spans="1:6">
      <c r="A274" s="7" t="str">
        <f t="shared" si="23"/>
        <v/>
      </c>
      <c r="B274" s="14" t="str">
        <f t="shared" si="18"/>
        <v/>
      </c>
      <c r="C274" s="14" t="str">
        <f t="shared" si="19"/>
        <v/>
      </c>
      <c r="D274" s="14" t="str">
        <f t="shared" si="20"/>
        <v/>
      </c>
      <c r="E274" s="14" t="str">
        <f t="shared" si="21"/>
        <v/>
      </c>
      <c r="F274" s="14" t="str">
        <f t="shared" si="22"/>
        <v/>
      </c>
    </row>
    <row r="275" spans="1:6">
      <c r="A275" s="7" t="str">
        <f t="shared" si="23"/>
        <v/>
      </c>
      <c r="B275" s="14" t="str">
        <f t="shared" si="18"/>
        <v/>
      </c>
      <c r="C275" s="14" t="str">
        <f t="shared" si="19"/>
        <v/>
      </c>
      <c r="D275" s="14" t="str">
        <f t="shared" si="20"/>
        <v/>
      </c>
      <c r="E275" s="14" t="str">
        <f t="shared" si="21"/>
        <v/>
      </c>
      <c r="F275" s="14" t="str">
        <f t="shared" si="22"/>
        <v/>
      </c>
    </row>
    <row r="276" spans="1:6">
      <c r="A276" s="7" t="str">
        <f t="shared" si="23"/>
        <v/>
      </c>
      <c r="B276" s="14" t="str">
        <f t="shared" ref="B276:B339" si="24">IF(A276&lt;=$E$9,C276+D276,"")</f>
        <v/>
      </c>
      <c r="C276" s="14" t="str">
        <f t="shared" ref="C276:C339" si="25">IF(A276&lt;=$E$9,F275*($E$8/$E$10),"")</f>
        <v/>
      </c>
      <c r="D276" s="14" t="str">
        <f t="shared" ref="D276:D339" si="26">IF(A276&lt;=$E$9,$E$13-C276,"")</f>
        <v/>
      </c>
      <c r="E276" s="14" t="str">
        <f t="shared" ref="E276:E339" si="27">IF(A276&lt;=$E$9,E275+D276,"")</f>
        <v/>
      </c>
      <c r="F276" s="14" t="str">
        <f t="shared" ref="F276:F339" si="28">IF(A276&lt;=$E$9,ROUND(($F$19-E276),2),"")</f>
        <v/>
      </c>
    </row>
    <row r="277" spans="1:6">
      <c r="A277" s="7" t="str">
        <f t="shared" ref="A277:A340" si="29">IF(A276&lt;$E$9,A276+1,"")</f>
        <v/>
      </c>
      <c r="B277" s="14" t="str">
        <f t="shared" si="24"/>
        <v/>
      </c>
      <c r="C277" s="14" t="str">
        <f t="shared" si="25"/>
        <v/>
      </c>
      <c r="D277" s="14" t="str">
        <f t="shared" si="26"/>
        <v/>
      </c>
      <c r="E277" s="14" t="str">
        <f t="shared" si="27"/>
        <v/>
      </c>
      <c r="F277" s="14" t="str">
        <f t="shared" si="28"/>
        <v/>
      </c>
    </row>
    <row r="278" spans="1:6">
      <c r="A278" s="7" t="str">
        <f t="shared" si="29"/>
        <v/>
      </c>
      <c r="B278" s="14" t="str">
        <f t="shared" si="24"/>
        <v/>
      </c>
      <c r="C278" s="14" t="str">
        <f t="shared" si="25"/>
        <v/>
      </c>
      <c r="D278" s="14" t="str">
        <f t="shared" si="26"/>
        <v/>
      </c>
      <c r="E278" s="14" t="str">
        <f t="shared" si="27"/>
        <v/>
      </c>
      <c r="F278" s="14" t="str">
        <f t="shared" si="28"/>
        <v/>
      </c>
    </row>
    <row r="279" spans="1:6">
      <c r="A279" s="7" t="str">
        <f t="shared" si="29"/>
        <v/>
      </c>
      <c r="B279" s="14" t="str">
        <f t="shared" si="24"/>
        <v/>
      </c>
      <c r="C279" s="14" t="str">
        <f t="shared" si="25"/>
        <v/>
      </c>
      <c r="D279" s="14" t="str">
        <f t="shared" si="26"/>
        <v/>
      </c>
      <c r="E279" s="14" t="str">
        <f t="shared" si="27"/>
        <v/>
      </c>
      <c r="F279" s="14" t="str">
        <f t="shared" si="28"/>
        <v/>
      </c>
    </row>
    <row r="280" spans="1:6">
      <c r="A280" s="7" t="str">
        <f t="shared" si="29"/>
        <v/>
      </c>
      <c r="B280" s="14" t="str">
        <f t="shared" si="24"/>
        <v/>
      </c>
      <c r="C280" s="14" t="str">
        <f t="shared" si="25"/>
        <v/>
      </c>
      <c r="D280" s="14" t="str">
        <f t="shared" si="26"/>
        <v/>
      </c>
      <c r="E280" s="14" t="str">
        <f t="shared" si="27"/>
        <v/>
      </c>
      <c r="F280" s="14" t="str">
        <f t="shared" si="28"/>
        <v/>
      </c>
    </row>
    <row r="281" spans="1:6">
      <c r="A281" s="7" t="str">
        <f t="shared" si="29"/>
        <v/>
      </c>
      <c r="B281" s="14" t="str">
        <f t="shared" si="24"/>
        <v/>
      </c>
      <c r="C281" s="14" t="str">
        <f t="shared" si="25"/>
        <v/>
      </c>
      <c r="D281" s="14" t="str">
        <f t="shared" si="26"/>
        <v/>
      </c>
      <c r="E281" s="14" t="str">
        <f t="shared" si="27"/>
        <v/>
      </c>
      <c r="F281" s="14" t="str">
        <f t="shared" si="28"/>
        <v/>
      </c>
    </row>
    <row r="282" spans="1:6">
      <c r="A282" s="7" t="str">
        <f t="shared" si="29"/>
        <v/>
      </c>
      <c r="B282" s="14" t="str">
        <f t="shared" si="24"/>
        <v/>
      </c>
      <c r="C282" s="14" t="str">
        <f t="shared" si="25"/>
        <v/>
      </c>
      <c r="D282" s="14" t="str">
        <f t="shared" si="26"/>
        <v/>
      </c>
      <c r="E282" s="14" t="str">
        <f t="shared" si="27"/>
        <v/>
      </c>
      <c r="F282" s="14" t="str">
        <f t="shared" si="28"/>
        <v/>
      </c>
    </row>
    <row r="283" spans="1:6">
      <c r="A283" s="7" t="str">
        <f t="shared" si="29"/>
        <v/>
      </c>
      <c r="B283" s="14" t="str">
        <f t="shared" si="24"/>
        <v/>
      </c>
      <c r="C283" s="14" t="str">
        <f t="shared" si="25"/>
        <v/>
      </c>
      <c r="D283" s="14" t="str">
        <f t="shared" si="26"/>
        <v/>
      </c>
      <c r="E283" s="14" t="str">
        <f t="shared" si="27"/>
        <v/>
      </c>
      <c r="F283" s="14" t="str">
        <f t="shared" si="28"/>
        <v/>
      </c>
    </row>
    <row r="284" spans="1:6">
      <c r="A284" s="7" t="str">
        <f t="shared" si="29"/>
        <v/>
      </c>
      <c r="B284" s="14" t="str">
        <f t="shared" si="24"/>
        <v/>
      </c>
      <c r="C284" s="14" t="str">
        <f t="shared" si="25"/>
        <v/>
      </c>
      <c r="D284" s="14" t="str">
        <f t="shared" si="26"/>
        <v/>
      </c>
      <c r="E284" s="14" t="str">
        <f t="shared" si="27"/>
        <v/>
      </c>
      <c r="F284" s="14" t="str">
        <f t="shared" si="28"/>
        <v/>
      </c>
    </row>
    <row r="285" spans="1:6">
      <c r="A285" s="7" t="str">
        <f t="shared" si="29"/>
        <v/>
      </c>
      <c r="B285" s="14" t="str">
        <f t="shared" si="24"/>
        <v/>
      </c>
      <c r="C285" s="14" t="str">
        <f t="shared" si="25"/>
        <v/>
      </c>
      <c r="D285" s="14" t="str">
        <f t="shared" si="26"/>
        <v/>
      </c>
      <c r="E285" s="14" t="str">
        <f t="shared" si="27"/>
        <v/>
      </c>
      <c r="F285" s="14" t="str">
        <f t="shared" si="28"/>
        <v/>
      </c>
    </row>
    <row r="286" spans="1:6">
      <c r="A286" s="7" t="str">
        <f t="shared" si="29"/>
        <v/>
      </c>
      <c r="B286" s="14" t="str">
        <f t="shared" si="24"/>
        <v/>
      </c>
      <c r="C286" s="14" t="str">
        <f t="shared" si="25"/>
        <v/>
      </c>
      <c r="D286" s="14" t="str">
        <f t="shared" si="26"/>
        <v/>
      </c>
      <c r="E286" s="14" t="str">
        <f t="shared" si="27"/>
        <v/>
      </c>
      <c r="F286" s="14" t="str">
        <f t="shared" si="28"/>
        <v/>
      </c>
    </row>
    <row r="287" spans="1:6">
      <c r="A287" s="7" t="str">
        <f t="shared" si="29"/>
        <v/>
      </c>
      <c r="B287" s="14" t="str">
        <f t="shared" si="24"/>
        <v/>
      </c>
      <c r="C287" s="14" t="str">
        <f t="shared" si="25"/>
        <v/>
      </c>
      <c r="D287" s="14" t="str">
        <f t="shared" si="26"/>
        <v/>
      </c>
      <c r="E287" s="14" t="str">
        <f t="shared" si="27"/>
        <v/>
      </c>
      <c r="F287" s="14" t="str">
        <f t="shared" si="28"/>
        <v/>
      </c>
    </row>
    <row r="288" spans="1:6">
      <c r="A288" s="7" t="str">
        <f t="shared" si="29"/>
        <v/>
      </c>
      <c r="B288" s="14" t="str">
        <f t="shared" si="24"/>
        <v/>
      </c>
      <c r="C288" s="14" t="str">
        <f t="shared" si="25"/>
        <v/>
      </c>
      <c r="D288" s="14" t="str">
        <f t="shared" si="26"/>
        <v/>
      </c>
      <c r="E288" s="14" t="str">
        <f t="shared" si="27"/>
        <v/>
      </c>
      <c r="F288" s="14" t="str">
        <f t="shared" si="28"/>
        <v/>
      </c>
    </row>
    <row r="289" spans="1:6">
      <c r="A289" s="7" t="str">
        <f t="shared" si="29"/>
        <v/>
      </c>
      <c r="B289" s="14" t="str">
        <f t="shared" si="24"/>
        <v/>
      </c>
      <c r="C289" s="14" t="str">
        <f t="shared" si="25"/>
        <v/>
      </c>
      <c r="D289" s="14" t="str">
        <f t="shared" si="26"/>
        <v/>
      </c>
      <c r="E289" s="14" t="str">
        <f t="shared" si="27"/>
        <v/>
      </c>
      <c r="F289" s="14" t="str">
        <f t="shared" si="28"/>
        <v/>
      </c>
    </row>
    <row r="290" spans="1:6">
      <c r="A290" s="7" t="str">
        <f t="shared" si="29"/>
        <v/>
      </c>
      <c r="B290" s="14" t="str">
        <f t="shared" si="24"/>
        <v/>
      </c>
      <c r="C290" s="14" t="str">
        <f t="shared" si="25"/>
        <v/>
      </c>
      <c r="D290" s="14" t="str">
        <f t="shared" si="26"/>
        <v/>
      </c>
      <c r="E290" s="14" t="str">
        <f t="shared" si="27"/>
        <v/>
      </c>
      <c r="F290" s="14" t="str">
        <f t="shared" si="28"/>
        <v/>
      </c>
    </row>
    <row r="291" spans="1:6">
      <c r="A291" s="7" t="str">
        <f t="shared" si="29"/>
        <v/>
      </c>
      <c r="B291" s="14" t="str">
        <f t="shared" si="24"/>
        <v/>
      </c>
      <c r="C291" s="14" t="str">
        <f t="shared" si="25"/>
        <v/>
      </c>
      <c r="D291" s="14" t="str">
        <f t="shared" si="26"/>
        <v/>
      </c>
      <c r="E291" s="14" t="str">
        <f t="shared" si="27"/>
        <v/>
      </c>
      <c r="F291" s="14" t="str">
        <f t="shared" si="28"/>
        <v/>
      </c>
    </row>
    <row r="292" spans="1:6">
      <c r="A292" s="7" t="str">
        <f t="shared" si="29"/>
        <v/>
      </c>
      <c r="B292" s="14" t="str">
        <f t="shared" si="24"/>
        <v/>
      </c>
      <c r="C292" s="14" t="str">
        <f t="shared" si="25"/>
        <v/>
      </c>
      <c r="D292" s="14" t="str">
        <f t="shared" si="26"/>
        <v/>
      </c>
      <c r="E292" s="14" t="str">
        <f t="shared" si="27"/>
        <v/>
      </c>
      <c r="F292" s="14" t="str">
        <f t="shared" si="28"/>
        <v/>
      </c>
    </row>
    <row r="293" spans="1:6">
      <c r="A293" s="7" t="str">
        <f t="shared" si="29"/>
        <v/>
      </c>
      <c r="B293" s="14" t="str">
        <f t="shared" si="24"/>
        <v/>
      </c>
      <c r="C293" s="14" t="str">
        <f t="shared" si="25"/>
        <v/>
      </c>
      <c r="D293" s="14" t="str">
        <f t="shared" si="26"/>
        <v/>
      </c>
      <c r="E293" s="14" t="str">
        <f t="shared" si="27"/>
        <v/>
      </c>
      <c r="F293" s="14" t="str">
        <f t="shared" si="28"/>
        <v/>
      </c>
    </row>
    <row r="294" spans="1:6">
      <c r="A294" s="7" t="str">
        <f t="shared" si="29"/>
        <v/>
      </c>
      <c r="B294" s="14" t="str">
        <f t="shared" si="24"/>
        <v/>
      </c>
      <c r="C294" s="14" t="str">
        <f t="shared" si="25"/>
        <v/>
      </c>
      <c r="D294" s="14" t="str">
        <f t="shared" si="26"/>
        <v/>
      </c>
      <c r="E294" s="14" t="str">
        <f t="shared" si="27"/>
        <v/>
      </c>
      <c r="F294" s="14" t="str">
        <f t="shared" si="28"/>
        <v/>
      </c>
    </row>
    <row r="295" spans="1:6">
      <c r="A295" s="7" t="str">
        <f t="shared" si="29"/>
        <v/>
      </c>
      <c r="B295" s="14" t="str">
        <f t="shared" si="24"/>
        <v/>
      </c>
      <c r="C295" s="14" t="str">
        <f t="shared" si="25"/>
        <v/>
      </c>
      <c r="D295" s="14" t="str">
        <f t="shared" si="26"/>
        <v/>
      </c>
      <c r="E295" s="14" t="str">
        <f t="shared" si="27"/>
        <v/>
      </c>
      <c r="F295" s="14" t="str">
        <f t="shared" si="28"/>
        <v/>
      </c>
    </row>
    <row r="296" spans="1:6">
      <c r="A296" s="7" t="str">
        <f t="shared" si="29"/>
        <v/>
      </c>
      <c r="B296" s="14" t="str">
        <f t="shared" si="24"/>
        <v/>
      </c>
      <c r="C296" s="14" t="str">
        <f t="shared" si="25"/>
        <v/>
      </c>
      <c r="D296" s="14" t="str">
        <f t="shared" si="26"/>
        <v/>
      </c>
      <c r="E296" s="14" t="str">
        <f t="shared" si="27"/>
        <v/>
      </c>
      <c r="F296" s="14" t="str">
        <f t="shared" si="28"/>
        <v/>
      </c>
    </row>
    <row r="297" spans="1:6">
      <c r="A297" s="7" t="str">
        <f t="shared" si="29"/>
        <v/>
      </c>
      <c r="B297" s="14" t="str">
        <f t="shared" si="24"/>
        <v/>
      </c>
      <c r="C297" s="14" t="str">
        <f t="shared" si="25"/>
        <v/>
      </c>
      <c r="D297" s="14" t="str">
        <f t="shared" si="26"/>
        <v/>
      </c>
      <c r="E297" s="14" t="str">
        <f t="shared" si="27"/>
        <v/>
      </c>
      <c r="F297" s="14" t="str">
        <f t="shared" si="28"/>
        <v/>
      </c>
    </row>
    <row r="298" spans="1:6">
      <c r="A298" s="7" t="str">
        <f t="shared" si="29"/>
        <v/>
      </c>
      <c r="B298" s="14" t="str">
        <f t="shared" si="24"/>
        <v/>
      </c>
      <c r="C298" s="14" t="str">
        <f t="shared" si="25"/>
        <v/>
      </c>
      <c r="D298" s="14" t="str">
        <f t="shared" si="26"/>
        <v/>
      </c>
      <c r="E298" s="14" t="str">
        <f t="shared" si="27"/>
        <v/>
      </c>
      <c r="F298" s="14" t="str">
        <f t="shared" si="28"/>
        <v/>
      </c>
    </row>
    <row r="299" spans="1:6">
      <c r="A299" s="7" t="str">
        <f t="shared" si="29"/>
        <v/>
      </c>
      <c r="B299" s="14" t="str">
        <f t="shared" si="24"/>
        <v/>
      </c>
      <c r="C299" s="14" t="str">
        <f t="shared" si="25"/>
        <v/>
      </c>
      <c r="D299" s="14" t="str">
        <f t="shared" si="26"/>
        <v/>
      </c>
      <c r="E299" s="14" t="str">
        <f t="shared" si="27"/>
        <v/>
      </c>
      <c r="F299" s="14" t="str">
        <f t="shared" si="28"/>
        <v/>
      </c>
    </row>
    <row r="300" spans="1:6">
      <c r="A300" s="7" t="str">
        <f t="shared" si="29"/>
        <v/>
      </c>
      <c r="B300" s="14" t="str">
        <f t="shared" si="24"/>
        <v/>
      </c>
      <c r="C300" s="14" t="str">
        <f t="shared" si="25"/>
        <v/>
      </c>
      <c r="D300" s="14" t="str">
        <f t="shared" si="26"/>
        <v/>
      </c>
      <c r="E300" s="14" t="str">
        <f t="shared" si="27"/>
        <v/>
      </c>
      <c r="F300" s="14" t="str">
        <f t="shared" si="28"/>
        <v/>
      </c>
    </row>
    <row r="301" spans="1:6">
      <c r="A301" s="7" t="str">
        <f t="shared" si="29"/>
        <v/>
      </c>
      <c r="B301" s="14" t="str">
        <f t="shared" si="24"/>
        <v/>
      </c>
      <c r="C301" s="14" t="str">
        <f t="shared" si="25"/>
        <v/>
      </c>
      <c r="D301" s="14" t="str">
        <f t="shared" si="26"/>
        <v/>
      </c>
      <c r="E301" s="14" t="str">
        <f t="shared" si="27"/>
        <v/>
      </c>
      <c r="F301" s="14" t="str">
        <f t="shared" si="28"/>
        <v/>
      </c>
    </row>
    <row r="302" spans="1:6">
      <c r="A302" s="7" t="str">
        <f t="shared" si="29"/>
        <v/>
      </c>
      <c r="B302" s="14" t="str">
        <f t="shared" si="24"/>
        <v/>
      </c>
      <c r="C302" s="14" t="str">
        <f t="shared" si="25"/>
        <v/>
      </c>
      <c r="D302" s="14" t="str">
        <f t="shared" si="26"/>
        <v/>
      </c>
      <c r="E302" s="14" t="str">
        <f t="shared" si="27"/>
        <v/>
      </c>
      <c r="F302" s="14" t="str">
        <f t="shared" si="28"/>
        <v/>
      </c>
    </row>
    <row r="303" spans="1:6">
      <c r="A303" s="7" t="str">
        <f t="shared" si="29"/>
        <v/>
      </c>
      <c r="B303" s="14" t="str">
        <f t="shared" si="24"/>
        <v/>
      </c>
      <c r="C303" s="14" t="str">
        <f t="shared" si="25"/>
        <v/>
      </c>
      <c r="D303" s="14" t="str">
        <f t="shared" si="26"/>
        <v/>
      </c>
      <c r="E303" s="14" t="str">
        <f t="shared" si="27"/>
        <v/>
      </c>
      <c r="F303" s="14" t="str">
        <f t="shared" si="28"/>
        <v/>
      </c>
    </row>
    <row r="304" spans="1:6">
      <c r="A304" s="7" t="str">
        <f t="shared" si="29"/>
        <v/>
      </c>
      <c r="B304" s="14" t="str">
        <f t="shared" si="24"/>
        <v/>
      </c>
      <c r="C304" s="14" t="str">
        <f t="shared" si="25"/>
        <v/>
      </c>
      <c r="D304" s="14" t="str">
        <f t="shared" si="26"/>
        <v/>
      </c>
      <c r="E304" s="14" t="str">
        <f t="shared" si="27"/>
        <v/>
      </c>
      <c r="F304" s="14" t="str">
        <f t="shared" si="28"/>
        <v/>
      </c>
    </row>
    <row r="305" spans="1:6">
      <c r="A305" s="7" t="str">
        <f t="shared" si="29"/>
        <v/>
      </c>
      <c r="B305" s="14" t="str">
        <f t="shared" si="24"/>
        <v/>
      </c>
      <c r="C305" s="14" t="str">
        <f t="shared" si="25"/>
        <v/>
      </c>
      <c r="D305" s="14" t="str">
        <f t="shared" si="26"/>
        <v/>
      </c>
      <c r="E305" s="14" t="str">
        <f t="shared" si="27"/>
        <v/>
      </c>
      <c r="F305" s="14" t="str">
        <f t="shared" si="28"/>
        <v/>
      </c>
    </row>
    <row r="306" spans="1:6">
      <c r="A306" s="7" t="str">
        <f t="shared" si="29"/>
        <v/>
      </c>
      <c r="B306" s="14" t="str">
        <f t="shared" si="24"/>
        <v/>
      </c>
      <c r="C306" s="14" t="str">
        <f t="shared" si="25"/>
        <v/>
      </c>
      <c r="D306" s="14" t="str">
        <f t="shared" si="26"/>
        <v/>
      </c>
      <c r="E306" s="14" t="str">
        <f t="shared" si="27"/>
        <v/>
      </c>
      <c r="F306" s="14" t="str">
        <f t="shared" si="28"/>
        <v/>
      </c>
    </row>
    <row r="307" spans="1:6">
      <c r="A307" s="7" t="str">
        <f t="shared" si="29"/>
        <v/>
      </c>
      <c r="B307" s="14" t="str">
        <f t="shared" si="24"/>
        <v/>
      </c>
      <c r="C307" s="14" t="str">
        <f t="shared" si="25"/>
        <v/>
      </c>
      <c r="D307" s="14" t="str">
        <f t="shared" si="26"/>
        <v/>
      </c>
      <c r="E307" s="14" t="str">
        <f t="shared" si="27"/>
        <v/>
      </c>
      <c r="F307" s="14" t="str">
        <f t="shared" si="28"/>
        <v/>
      </c>
    </row>
    <row r="308" spans="1:6">
      <c r="A308" s="7" t="str">
        <f t="shared" si="29"/>
        <v/>
      </c>
      <c r="B308" s="14" t="str">
        <f t="shared" si="24"/>
        <v/>
      </c>
      <c r="C308" s="14" t="str">
        <f t="shared" si="25"/>
        <v/>
      </c>
      <c r="D308" s="14" t="str">
        <f t="shared" si="26"/>
        <v/>
      </c>
      <c r="E308" s="14" t="str">
        <f t="shared" si="27"/>
        <v/>
      </c>
      <c r="F308" s="14" t="str">
        <f t="shared" si="28"/>
        <v/>
      </c>
    </row>
    <row r="309" spans="1:6">
      <c r="A309" s="7" t="str">
        <f t="shared" si="29"/>
        <v/>
      </c>
      <c r="B309" s="14" t="str">
        <f t="shared" si="24"/>
        <v/>
      </c>
      <c r="C309" s="14" t="str">
        <f t="shared" si="25"/>
        <v/>
      </c>
      <c r="D309" s="14" t="str">
        <f t="shared" si="26"/>
        <v/>
      </c>
      <c r="E309" s="14" t="str">
        <f t="shared" si="27"/>
        <v/>
      </c>
      <c r="F309" s="14" t="str">
        <f t="shared" si="28"/>
        <v/>
      </c>
    </row>
    <row r="310" spans="1:6">
      <c r="A310" s="7" t="str">
        <f t="shared" si="29"/>
        <v/>
      </c>
      <c r="B310" s="14" t="str">
        <f t="shared" si="24"/>
        <v/>
      </c>
      <c r="C310" s="14" t="str">
        <f t="shared" si="25"/>
        <v/>
      </c>
      <c r="D310" s="14" t="str">
        <f t="shared" si="26"/>
        <v/>
      </c>
      <c r="E310" s="14" t="str">
        <f t="shared" si="27"/>
        <v/>
      </c>
      <c r="F310" s="14" t="str">
        <f t="shared" si="28"/>
        <v/>
      </c>
    </row>
    <row r="311" spans="1:6">
      <c r="A311" s="7" t="str">
        <f t="shared" si="29"/>
        <v/>
      </c>
      <c r="B311" s="14" t="str">
        <f t="shared" si="24"/>
        <v/>
      </c>
      <c r="C311" s="14" t="str">
        <f t="shared" si="25"/>
        <v/>
      </c>
      <c r="D311" s="14" t="str">
        <f t="shared" si="26"/>
        <v/>
      </c>
      <c r="E311" s="14" t="str">
        <f t="shared" si="27"/>
        <v/>
      </c>
      <c r="F311" s="14" t="str">
        <f t="shared" si="28"/>
        <v/>
      </c>
    </row>
    <row r="312" spans="1:6">
      <c r="A312" s="7" t="str">
        <f t="shared" si="29"/>
        <v/>
      </c>
      <c r="B312" s="14" t="str">
        <f t="shared" si="24"/>
        <v/>
      </c>
      <c r="C312" s="14" t="str">
        <f t="shared" si="25"/>
        <v/>
      </c>
      <c r="D312" s="14" t="str">
        <f t="shared" si="26"/>
        <v/>
      </c>
      <c r="E312" s="14" t="str">
        <f t="shared" si="27"/>
        <v/>
      </c>
      <c r="F312" s="14" t="str">
        <f t="shared" si="28"/>
        <v/>
      </c>
    </row>
    <row r="313" spans="1:6">
      <c r="A313" s="7" t="str">
        <f t="shared" si="29"/>
        <v/>
      </c>
      <c r="B313" s="14" t="str">
        <f t="shared" si="24"/>
        <v/>
      </c>
      <c r="C313" s="14" t="str">
        <f t="shared" si="25"/>
        <v/>
      </c>
      <c r="D313" s="14" t="str">
        <f t="shared" si="26"/>
        <v/>
      </c>
      <c r="E313" s="14" t="str">
        <f t="shared" si="27"/>
        <v/>
      </c>
      <c r="F313" s="14" t="str">
        <f t="shared" si="28"/>
        <v/>
      </c>
    </row>
    <row r="314" spans="1:6">
      <c r="A314" s="7" t="str">
        <f t="shared" si="29"/>
        <v/>
      </c>
      <c r="B314" s="14" t="str">
        <f t="shared" si="24"/>
        <v/>
      </c>
      <c r="C314" s="14" t="str">
        <f t="shared" si="25"/>
        <v/>
      </c>
      <c r="D314" s="14" t="str">
        <f t="shared" si="26"/>
        <v/>
      </c>
      <c r="E314" s="14" t="str">
        <f t="shared" si="27"/>
        <v/>
      </c>
      <c r="F314" s="14" t="str">
        <f t="shared" si="28"/>
        <v/>
      </c>
    </row>
    <row r="315" spans="1:6">
      <c r="A315" s="7" t="str">
        <f t="shared" si="29"/>
        <v/>
      </c>
      <c r="B315" s="14" t="str">
        <f t="shared" si="24"/>
        <v/>
      </c>
      <c r="C315" s="14" t="str">
        <f t="shared" si="25"/>
        <v/>
      </c>
      <c r="D315" s="14" t="str">
        <f t="shared" si="26"/>
        <v/>
      </c>
      <c r="E315" s="14" t="str">
        <f t="shared" si="27"/>
        <v/>
      </c>
      <c r="F315" s="14" t="str">
        <f t="shared" si="28"/>
        <v/>
      </c>
    </row>
    <row r="316" spans="1:6">
      <c r="A316" s="7" t="str">
        <f t="shared" si="29"/>
        <v/>
      </c>
      <c r="B316" s="14" t="str">
        <f t="shared" si="24"/>
        <v/>
      </c>
      <c r="C316" s="14" t="str">
        <f t="shared" si="25"/>
        <v/>
      </c>
      <c r="D316" s="14" t="str">
        <f t="shared" si="26"/>
        <v/>
      </c>
      <c r="E316" s="14" t="str">
        <f t="shared" si="27"/>
        <v/>
      </c>
      <c r="F316" s="14" t="str">
        <f t="shared" si="28"/>
        <v/>
      </c>
    </row>
    <row r="317" spans="1:6">
      <c r="A317" s="7" t="str">
        <f t="shared" si="29"/>
        <v/>
      </c>
      <c r="B317" s="14" t="str">
        <f t="shared" si="24"/>
        <v/>
      </c>
      <c r="C317" s="14" t="str">
        <f t="shared" si="25"/>
        <v/>
      </c>
      <c r="D317" s="14" t="str">
        <f t="shared" si="26"/>
        <v/>
      </c>
      <c r="E317" s="14" t="str">
        <f t="shared" si="27"/>
        <v/>
      </c>
      <c r="F317" s="14" t="str">
        <f t="shared" si="28"/>
        <v/>
      </c>
    </row>
    <row r="318" spans="1:6">
      <c r="A318" s="7" t="str">
        <f t="shared" si="29"/>
        <v/>
      </c>
      <c r="B318" s="14" t="str">
        <f t="shared" si="24"/>
        <v/>
      </c>
      <c r="C318" s="14" t="str">
        <f t="shared" si="25"/>
        <v/>
      </c>
      <c r="D318" s="14" t="str">
        <f t="shared" si="26"/>
        <v/>
      </c>
      <c r="E318" s="14" t="str">
        <f t="shared" si="27"/>
        <v/>
      </c>
      <c r="F318" s="14" t="str">
        <f t="shared" si="28"/>
        <v/>
      </c>
    </row>
    <row r="319" spans="1:6">
      <c r="A319" s="7" t="str">
        <f t="shared" si="29"/>
        <v/>
      </c>
      <c r="B319" s="14" t="str">
        <f t="shared" si="24"/>
        <v/>
      </c>
      <c r="C319" s="14" t="str">
        <f t="shared" si="25"/>
        <v/>
      </c>
      <c r="D319" s="14" t="str">
        <f t="shared" si="26"/>
        <v/>
      </c>
      <c r="E319" s="14" t="str">
        <f t="shared" si="27"/>
        <v/>
      </c>
      <c r="F319" s="14" t="str">
        <f t="shared" si="28"/>
        <v/>
      </c>
    </row>
    <row r="320" spans="1:6">
      <c r="A320" s="7" t="str">
        <f t="shared" si="29"/>
        <v/>
      </c>
      <c r="B320" s="14" t="str">
        <f t="shared" si="24"/>
        <v/>
      </c>
      <c r="C320" s="14" t="str">
        <f t="shared" si="25"/>
        <v/>
      </c>
      <c r="D320" s="14" t="str">
        <f t="shared" si="26"/>
        <v/>
      </c>
      <c r="E320" s="14" t="str">
        <f t="shared" si="27"/>
        <v/>
      </c>
      <c r="F320" s="14" t="str">
        <f t="shared" si="28"/>
        <v/>
      </c>
    </row>
    <row r="321" spans="1:6">
      <c r="A321" s="7" t="str">
        <f t="shared" si="29"/>
        <v/>
      </c>
      <c r="B321" s="14" t="str">
        <f t="shared" si="24"/>
        <v/>
      </c>
      <c r="C321" s="14" t="str">
        <f t="shared" si="25"/>
        <v/>
      </c>
      <c r="D321" s="14" t="str">
        <f t="shared" si="26"/>
        <v/>
      </c>
      <c r="E321" s="14" t="str">
        <f t="shared" si="27"/>
        <v/>
      </c>
      <c r="F321" s="14" t="str">
        <f t="shared" si="28"/>
        <v/>
      </c>
    </row>
    <row r="322" spans="1:6">
      <c r="A322" s="7" t="str">
        <f t="shared" si="29"/>
        <v/>
      </c>
      <c r="B322" s="14" t="str">
        <f t="shared" si="24"/>
        <v/>
      </c>
      <c r="C322" s="14" t="str">
        <f t="shared" si="25"/>
        <v/>
      </c>
      <c r="D322" s="14" t="str">
        <f t="shared" si="26"/>
        <v/>
      </c>
      <c r="E322" s="14" t="str">
        <f t="shared" si="27"/>
        <v/>
      </c>
      <c r="F322" s="14" t="str">
        <f t="shared" si="28"/>
        <v/>
      </c>
    </row>
    <row r="323" spans="1:6">
      <c r="A323" s="7" t="str">
        <f t="shared" si="29"/>
        <v/>
      </c>
      <c r="B323" s="14" t="str">
        <f t="shared" si="24"/>
        <v/>
      </c>
      <c r="C323" s="14" t="str">
        <f t="shared" si="25"/>
        <v/>
      </c>
      <c r="D323" s="14" t="str">
        <f t="shared" si="26"/>
        <v/>
      </c>
      <c r="E323" s="14" t="str">
        <f t="shared" si="27"/>
        <v/>
      </c>
      <c r="F323" s="14" t="str">
        <f t="shared" si="28"/>
        <v/>
      </c>
    </row>
    <row r="324" spans="1:6">
      <c r="A324" s="7" t="str">
        <f t="shared" si="29"/>
        <v/>
      </c>
      <c r="B324" s="14" t="str">
        <f t="shared" si="24"/>
        <v/>
      </c>
      <c r="C324" s="14" t="str">
        <f t="shared" si="25"/>
        <v/>
      </c>
      <c r="D324" s="14" t="str">
        <f t="shared" si="26"/>
        <v/>
      </c>
      <c r="E324" s="14" t="str">
        <f t="shared" si="27"/>
        <v/>
      </c>
      <c r="F324" s="14" t="str">
        <f t="shared" si="28"/>
        <v/>
      </c>
    </row>
    <row r="325" spans="1:6">
      <c r="A325" s="7" t="str">
        <f t="shared" si="29"/>
        <v/>
      </c>
      <c r="B325" s="14" t="str">
        <f t="shared" si="24"/>
        <v/>
      </c>
      <c r="C325" s="14" t="str">
        <f t="shared" si="25"/>
        <v/>
      </c>
      <c r="D325" s="14" t="str">
        <f t="shared" si="26"/>
        <v/>
      </c>
      <c r="E325" s="14" t="str">
        <f t="shared" si="27"/>
        <v/>
      </c>
      <c r="F325" s="14" t="str">
        <f t="shared" si="28"/>
        <v/>
      </c>
    </row>
    <row r="326" spans="1:6">
      <c r="A326" s="7" t="str">
        <f t="shared" si="29"/>
        <v/>
      </c>
      <c r="B326" s="14" t="str">
        <f t="shared" si="24"/>
        <v/>
      </c>
      <c r="C326" s="14" t="str">
        <f t="shared" si="25"/>
        <v/>
      </c>
      <c r="D326" s="14" t="str">
        <f t="shared" si="26"/>
        <v/>
      </c>
      <c r="E326" s="14" t="str">
        <f t="shared" si="27"/>
        <v/>
      </c>
      <c r="F326" s="14" t="str">
        <f t="shared" si="28"/>
        <v/>
      </c>
    </row>
    <row r="327" spans="1:6">
      <c r="A327" s="7" t="str">
        <f t="shared" si="29"/>
        <v/>
      </c>
      <c r="B327" s="14" t="str">
        <f t="shared" si="24"/>
        <v/>
      </c>
      <c r="C327" s="14" t="str">
        <f t="shared" si="25"/>
        <v/>
      </c>
      <c r="D327" s="14" t="str">
        <f t="shared" si="26"/>
        <v/>
      </c>
      <c r="E327" s="14" t="str">
        <f t="shared" si="27"/>
        <v/>
      </c>
      <c r="F327" s="14" t="str">
        <f t="shared" si="28"/>
        <v/>
      </c>
    </row>
    <row r="328" spans="1:6">
      <c r="A328" s="7" t="str">
        <f t="shared" si="29"/>
        <v/>
      </c>
      <c r="B328" s="14" t="str">
        <f t="shared" si="24"/>
        <v/>
      </c>
      <c r="C328" s="14" t="str">
        <f t="shared" si="25"/>
        <v/>
      </c>
      <c r="D328" s="14" t="str">
        <f t="shared" si="26"/>
        <v/>
      </c>
      <c r="E328" s="14" t="str">
        <f t="shared" si="27"/>
        <v/>
      </c>
      <c r="F328" s="14" t="str">
        <f t="shared" si="28"/>
        <v/>
      </c>
    </row>
    <row r="329" spans="1:6">
      <c r="A329" s="7" t="str">
        <f t="shared" si="29"/>
        <v/>
      </c>
      <c r="B329" s="14" t="str">
        <f t="shared" si="24"/>
        <v/>
      </c>
      <c r="C329" s="14" t="str">
        <f t="shared" si="25"/>
        <v/>
      </c>
      <c r="D329" s="14" t="str">
        <f t="shared" si="26"/>
        <v/>
      </c>
      <c r="E329" s="14" t="str">
        <f t="shared" si="27"/>
        <v/>
      </c>
      <c r="F329" s="14" t="str">
        <f t="shared" si="28"/>
        <v/>
      </c>
    </row>
    <row r="330" spans="1:6">
      <c r="A330" s="7" t="str">
        <f t="shared" si="29"/>
        <v/>
      </c>
      <c r="B330" s="14" t="str">
        <f t="shared" si="24"/>
        <v/>
      </c>
      <c r="C330" s="14" t="str">
        <f t="shared" si="25"/>
        <v/>
      </c>
      <c r="D330" s="14" t="str">
        <f t="shared" si="26"/>
        <v/>
      </c>
      <c r="E330" s="14" t="str">
        <f t="shared" si="27"/>
        <v/>
      </c>
      <c r="F330" s="14" t="str">
        <f t="shared" si="28"/>
        <v/>
      </c>
    </row>
    <row r="331" spans="1:6">
      <c r="A331" s="7" t="str">
        <f t="shared" si="29"/>
        <v/>
      </c>
      <c r="B331" s="14" t="str">
        <f t="shared" si="24"/>
        <v/>
      </c>
      <c r="C331" s="14" t="str">
        <f t="shared" si="25"/>
        <v/>
      </c>
      <c r="D331" s="14" t="str">
        <f t="shared" si="26"/>
        <v/>
      </c>
      <c r="E331" s="14" t="str">
        <f t="shared" si="27"/>
        <v/>
      </c>
      <c r="F331" s="14" t="str">
        <f t="shared" si="28"/>
        <v/>
      </c>
    </row>
    <row r="332" spans="1:6">
      <c r="A332" s="7" t="str">
        <f t="shared" si="29"/>
        <v/>
      </c>
      <c r="B332" s="14" t="str">
        <f t="shared" si="24"/>
        <v/>
      </c>
      <c r="C332" s="14" t="str">
        <f t="shared" si="25"/>
        <v/>
      </c>
      <c r="D332" s="14" t="str">
        <f t="shared" si="26"/>
        <v/>
      </c>
      <c r="E332" s="14" t="str">
        <f t="shared" si="27"/>
        <v/>
      </c>
      <c r="F332" s="14" t="str">
        <f t="shared" si="28"/>
        <v/>
      </c>
    </row>
    <row r="333" spans="1:6">
      <c r="A333" s="7" t="str">
        <f t="shared" si="29"/>
        <v/>
      </c>
      <c r="B333" s="14" t="str">
        <f t="shared" si="24"/>
        <v/>
      </c>
      <c r="C333" s="14" t="str">
        <f t="shared" si="25"/>
        <v/>
      </c>
      <c r="D333" s="14" t="str">
        <f t="shared" si="26"/>
        <v/>
      </c>
      <c r="E333" s="14" t="str">
        <f t="shared" si="27"/>
        <v/>
      </c>
      <c r="F333" s="14" t="str">
        <f t="shared" si="28"/>
        <v/>
      </c>
    </row>
    <row r="334" spans="1:6">
      <c r="A334" s="7" t="str">
        <f t="shared" si="29"/>
        <v/>
      </c>
      <c r="B334" s="14" t="str">
        <f t="shared" si="24"/>
        <v/>
      </c>
      <c r="C334" s="14" t="str">
        <f t="shared" si="25"/>
        <v/>
      </c>
      <c r="D334" s="14" t="str">
        <f t="shared" si="26"/>
        <v/>
      </c>
      <c r="E334" s="14" t="str">
        <f t="shared" si="27"/>
        <v/>
      </c>
      <c r="F334" s="14" t="str">
        <f t="shared" si="28"/>
        <v/>
      </c>
    </row>
    <row r="335" spans="1:6">
      <c r="A335" s="7" t="str">
        <f t="shared" si="29"/>
        <v/>
      </c>
      <c r="B335" s="14" t="str">
        <f t="shared" si="24"/>
        <v/>
      </c>
      <c r="C335" s="14" t="str">
        <f t="shared" si="25"/>
        <v/>
      </c>
      <c r="D335" s="14" t="str">
        <f t="shared" si="26"/>
        <v/>
      </c>
      <c r="E335" s="14" t="str">
        <f t="shared" si="27"/>
        <v/>
      </c>
      <c r="F335" s="14" t="str">
        <f t="shared" si="28"/>
        <v/>
      </c>
    </row>
    <row r="336" spans="1:6">
      <c r="A336" s="7" t="str">
        <f t="shared" si="29"/>
        <v/>
      </c>
      <c r="B336" s="14" t="str">
        <f t="shared" si="24"/>
        <v/>
      </c>
      <c r="C336" s="14" t="str">
        <f t="shared" si="25"/>
        <v/>
      </c>
      <c r="D336" s="14" t="str">
        <f t="shared" si="26"/>
        <v/>
      </c>
      <c r="E336" s="14" t="str">
        <f t="shared" si="27"/>
        <v/>
      </c>
      <c r="F336" s="14" t="str">
        <f t="shared" si="28"/>
        <v/>
      </c>
    </row>
    <row r="337" spans="1:6">
      <c r="A337" s="7" t="str">
        <f t="shared" si="29"/>
        <v/>
      </c>
      <c r="B337" s="14" t="str">
        <f t="shared" si="24"/>
        <v/>
      </c>
      <c r="C337" s="14" t="str">
        <f t="shared" si="25"/>
        <v/>
      </c>
      <c r="D337" s="14" t="str">
        <f t="shared" si="26"/>
        <v/>
      </c>
      <c r="E337" s="14" t="str">
        <f t="shared" si="27"/>
        <v/>
      </c>
      <c r="F337" s="14" t="str">
        <f t="shared" si="28"/>
        <v/>
      </c>
    </row>
    <row r="338" spans="1:6">
      <c r="A338" s="7" t="str">
        <f t="shared" si="29"/>
        <v/>
      </c>
      <c r="B338" s="14" t="str">
        <f t="shared" si="24"/>
        <v/>
      </c>
      <c r="C338" s="14" t="str">
        <f t="shared" si="25"/>
        <v/>
      </c>
      <c r="D338" s="14" t="str">
        <f t="shared" si="26"/>
        <v/>
      </c>
      <c r="E338" s="14" t="str">
        <f t="shared" si="27"/>
        <v/>
      </c>
      <c r="F338" s="14" t="str">
        <f t="shared" si="28"/>
        <v/>
      </c>
    </row>
    <row r="339" spans="1:6">
      <c r="A339" s="7" t="str">
        <f t="shared" si="29"/>
        <v/>
      </c>
      <c r="B339" s="14" t="str">
        <f t="shared" si="24"/>
        <v/>
      </c>
      <c r="C339" s="14" t="str">
        <f t="shared" si="25"/>
        <v/>
      </c>
      <c r="D339" s="14" t="str">
        <f t="shared" si="26"/>
        <v/>
      </c>
      <c r="E339" s="14" t="str">
        <f t="shared" si="27"/>
        <v/>
      </c>
      <c r="F339" s="14" t="str">
        <f t="shared" si="28"/>
        <v/>
      </c>
    </row>
    <row r="340" spans="1:6">
      <c r="A340" s="7" t="str">
        <f t="shared" si="29"/>
        <v/>
      </c>
      <c r="B340" s="14" t="str">
        <f t="shared" ref="B340:B379" si="30">IF(A340&lt;=$E$9,C340+D340,"")</f>
        <v/>
      </c>
      <c r="C340" s="14" t="str">
        <f t="shared" ref="C340:C379" si="31">IF(A340&lt;=$E$9,F339*($E$8/$E$10),"")</f>
        <v/>
      </c>
      <c r="D340" s="14" t="str">
        <f t="shared" ref="D340:D379" si="32">IF(A340&lt;=$E$9,$E$13-C340,"")</f>
        <v/>
      </c>
      <c r="E340" s="14" t="str">
        <f t="shared" ref="E340:E379" si="33">IF(A340&lt;=$E$9,E339+D340,"")</f>
        <v/>
      </c>
      <c r="F340" s="14" t="str">
        <f t="shared" ref="F340:F379" si="34">IF(A340&lt;=$E$9,ROUND(($F$19-E340),2),"")</f>
        <v/>
      </c>
    </row>
    <row r="341" spans="1:6">
      <c r="A341" s="7" t="str">
        <f t="shared" ref="A341:A379" si="35">IF(A340&lt;$E$9,A340+1,"")</f>
        <v/>
      </c>
      <c r="B341" s="14" t="str">
        <f t="shared" si="30"/>
        <v/>
      </c>
      <c r="C341" s="14" t="str">
        <f t="shared" si="31"/>
        <v/>
      </c>
      <c r="D341" s="14" t="str">
        <f t="shared" si="32"/>
        <v/>
      </c>
      <c r="E341" s="14" t="str">
        <f t="shared" si="33"/>
        <v/>
      </c>
      <c r="F341" s="14" t="str">
        <f t="shared" si="34"/>
        <v/>
      </c>
    </row>
    <row r="342" spans="1:6">
      <c r="A342" s="7" t="str">
        <f t="shared" si="35"/>
        <v/>
      </c>
      <c r="B342" s="14" t="str">
        <f t="shared" si="30"/>
        <v/>
      </c>
      <c r="C342" s="14" t="str">
        <f t="shared" si="31"/>
        <v/>
      </c>
      <c r="D342" s="14" t="str">
        <f t="shared" si="32"/>
        <v/>
      </c>
      <c r="E342" s="14" t="str">
        <f t="shared" si="33"/>
        <v/>
      </c>
      <c r="F342" s="14" t="str">
        <f t="shared" si="34"/>
        <v/>
      </c>
    </row>
    <row r="343" spans="1:6">
      <c r="A343" s="7" t="str">
        <f t="shared" si="35"/>
        <v/>
      </c>
      <c r="B343" s="14" t="str">
        <f t="shared" si="30"/>
        <v/>
      </c>
      <c r="C343" s="14" t="str">
        <f t="shared" si="31"/>
        <v/>
      </c>
      <c r="D343" s="14" t="str">
        <f t="shared" si="32"/>
        <v/>
      </c>
      <c r="E343" s="14" t="str">
        <f t="shared" si="33"/>
        <v/>
      </c>
      <c r="F343" s="14" t="str">
        <f t="shared" si="34"/>
        <v/>
      </c>
    </row>
    <row r="344" spans="1:6">
      <c r="A344" s="7" t="str">
        <f t="shared" si="35"/>
        <v/>
      </c>
      <c r="B344" s="14" t="str">
        <f t="shared" si="30"/>
        <v/>
      </c>
      <c r="C344" s="14" t="str">
        <f t="shared" si="31"/>
        <v/>
      </c>
      <c r="D344" s="14" t="str">
        <f t="shared" si="32"/>
        <v/>
      </c>
      <c r="E344" s="14" t="str">
        <f t="shared" si="33"/>
        <v/>
      </c>
      <c r="F344" s="14" t="str">
        <f t="shared" si="34"/>
        <v/>
      </c>
    </row>
    <row r="345" spans="1:6">
      <c r="A345" s="7" t="str">
        <f t="shared" si="35"/>
        <v/>
      </c>
      <c r="B345" s="14" t="str">
        <f t="shared" si="30"/>
        <v/>
      </c>
      <c r="C345" s="14" t="str">
        <f t="shared" si="31"/>
        <v/>
      </c>
      <c r="D345" s="14" t="str">
        <f t="shared" si="32"/>
        <v/>
      </c>
      <c r="E345" s="14" t="str">
        <f t="shared" si="33"/>
        <v/>
      </c>
      <c r="F345" s="14" t="str">
        <f t="shared" si="34"/>
        <v/>
      </c>
    </row>
    <row r="346" spans="1:6">
      <c r="A346" s="7" t="str">
        <f t="shared" si="35"/>
        <v/>
      </c>
      <c r="B346" s="14" t="str">
        <f t="shared" si="30"/>
        <v/>
      </c>
      <c r="C346" s="14" t="str">
        <f t="shared" si="31"/>
        <v/>
      </c>
      <c r="D346" s="14" t="str">
        <f t="shared" si="32"/>
        <v/>
      </c>
      <c r="E346" s="14" t="str">
        <f t="shared" si="33"/>
        <v/>
      </c>
      <c r="F346" s="14" t="str">
        <f t="shared" si="34"/>
        <v/>
      </c>
    </row>
    <row r="347" spans="1:6">
      <c r="A347" s="7" t="str">
        <f t="shared" si="35"/>
        <v/>
      </c>
      <c r="B347" s="14" t="str">
        <f t="shared" si="30"/>
        <v/>
      </c>
      <c r="C347" s="14" t="str">
        <f t="shared" si="31"/>
        <v/>
      </c>
      <c r="D347" s="14" t="str">
        <f t="shared" si="32"/>
        <v/>
      </c>
      <c r="E347" s="14" t="str">
        <f t="shared" si="33"/>
        <v/>
      </c>
      <c r="F347" s="14" t="str">
        <f t="shared" si="34"/>
        <v/>
      </c>
    </row>
    <row r="348" spans="1:6">
      <c r="A348" s="7" t="str">
        <f t="shared" si="35"/>
        <v/>
      </c>
      <c r="B348" s="14" t="str">
        <f t="shared" si="30"/>
        <v/>
      </c>
      <c r="C348" s="14" t="str">
        <f t="shared" si="31"/>
        <v/>
      </c>
      <c r="D348" s="14" t="str">
        <f t="shared" si="32"/>
        <v/>
      </c>
      <c r="E348" s="14" t="str">
        <f t="shared" si="33"/>
        <v/>
      </c>
      <c r="F348" s="14" t="str">
        <f t="shared" si="34"/>
        <v/>
      </c>
    </row>
    <row r="349" spans="1:6">
      <c r="A349" s="7" t="str">
        <f t="shared" si="35"/>
        <v/>
      </c>
      <c r="B349" s="14" t="str">
        <f t="shared" si="30"/>
        <v/>
      </c>
      <c r="C349" s="14" t="str">
        <f t="shared" si="31"/>
        <v/>
      </c>
      <c r="D349" s="14" t="str">
        <f t="shared" si="32"/>
        <v/>
      </c>
      <c r="E349" s="14" t="str">
        <f t="shared" si="33"/>
        <v/>
      </c>
      <c r="F349" s="14" t="str">
        <f t="shared" si="34"/>
        <v/>
      </c>
    </row>
    <row r="350" spans="1:6">
      <c r="A350" s="7" t="str">
        <f t="shared" si="35"/>
        <v/>
      </c>
      <c r="B350" s="14" t="str">
        <f t="shared" si="30"/>
        <v/>
      </c>
      <c r="C350" s="14" t="str">
        <f t="shared" si="31"/>
        <v/>
      </c>
      <c r="D350" s="14" t="str">
        <f t="shared" si="32"/>
        <v/>
      </c>
      <c r="E350" s="14" t="str">
        <f t="shared" si="33"/>
        <v/>
      </c>
      <c r="F350" s="14" t="str">
        <f t="shared" si="34"/>
        <v/>
      </c>
    </row>
    <row r="351" spans="1:6">
      <c r="A351" s="7" t="str">
        <f t="shared" si="35"/>
        <v/>
      </c>
      <c r="B351" s="14" t="str">
        <f t="shared" si="30"/>
        <v/>
      </c>
      <c r="C351" s="14" t="str">
        <f t="shared" si="31"/>
        <v/>
      </c>
      <c r="D351" s="14" t="str">
        <f t="shared" si="32"/>
        <v/>
      </c>
      <c r="E351" s="14" t="str">
        <f t="shared" si="33"/>
        <v/>
      </c>
      <c r="F351" s="14" t="str">
        <f t="shared" si="34"/>
        <v/>
      </c>
    </row>
    <row r="352" spans="1:6">
      <c r="A352" s="7" t="str">
        <f t="shared" si="35"/>
        <v/>
      </c>
      <c r="B352" s="14" t="str">
        <f t="shared" si="30"/>
        <v/>
      </c>
      <c r="C352" s="14" t="str">
        <f t="shared" si="31"/>
        <v/>
      </c>
      <c r="D352" s="14" t="str">
        <f t="shared" si="32"/>
        <v/>
      </c>
      <c r="E352" s="14" t="str">
        <f t="shared" si="33"/>
        <v/>
      </c>
      <c r="F352" s="14" t="str">
        <f t="shared" si="34"/>
        <v/>
      </c>
    </row>
    <row r="353" spans="1:6">
      <c r="A353" s="7" t="str">
        <f t="shared" si="35"/>
        <v/>
      </c>
      <c r="B353" s="14" t="str">
        <f t="shared" si="30"/>
        <v/>
      </c>
      <c r="C353" s="14" t="str">
        <f t="shared" si="31"/>
        <v/>
      </c>
      <c r="D353" s="14" t="str">
        <f t="shared" si="32"/>
        <v/>
      </c>
      <c r="E353" s="14" t="str">
        <f t="shared" si="33"/>
        <v/>
      </c>
      <c r="F353" s="14" t="str">
        <f t="shared" si="34"/>
        <v/>
      </c>
    </row>
    <row r="354" spans="1:6">
      <c r="A354" s="7" t="str">
        <f t="shared" si="35"/>
        <v/>
      </c>
      <c r="B354" s="14" t="str">
        <f t="shared" si="30"/>
        <v/>
      </c>
      <c r="C354" s="14" t="str">
        <f t="shared" si="31"/>
        <v/>
      </c>
      <c r="D354" s="14" t="str">
        <f t="shared" si="32"/>
        <v/>
      </c>
      <c r="E354" s="14" t="str">
        <f t="shared" si="33"/>
        <v/>
      </c>
      <c r="F354" s="14" t="str">
        <f t="shared" si="34"/>
        <v/>
      </c>
    </row>
    <row r="355" spans="1:6">
      <c r="A355" s="7" t="str">
        <f t="shared" si="35"/>
        <v/>
      </c>
      <c r="B355" s="14" t="str">
        <f t="shared" si="30"/>
        <v/>
      </c>
      <c r="C355" s="14" t="str">
        <f t="shared" si="31"/>
        <v/>
      </c>
      <c r="D355" s="14" t="str">
        <f t="shared" si="32"/>
        <v/>
      </c>
      <c r="E355" s="14" t="str">
        <f t="shared" si="33"/>
        <v/>
      </c>
      <c r="F355" s="14" t="str">
        <f t="shared" si="34"/>
        <v/>
      </c>
    </row>
    <row r="356" spans="1:6">
      <c r="A356" s="7" t="str">
        <f t="shared" si="35"/>
        <v/>
      </c>
      <c r="B356" s="14" t="str">
        <f t="shared" si="30"/>
        <v/>
      </c>
      <c r="C356" s="14" t="str">
        <f t="shared" si="31"/>
        <v/>
      </c>
      <c r="D356" s="14" t="str">
        <f t="shared" si="32"/>
        <v/>
      </c>
      <c r="E356" s="14" t="str">
        <f t="shared" si="33"/>
        <v/>
      </c>
      <c r="F356" s="14" t="str">
        <f t="shared" si="34"/>
        <v/>
      </c>
    </row>
    <row r="357" spans="1:6">
      <c r="A357" s="7" t="str">
        <f t="shared" si="35"/>
        <v/>
      </c>
      <c r="B357" s="14" t="str">
        <f t="shared" si="30"/>
        <v/>
      </c>
      <c r="C357" s="14" t="str">
        <f t="shared" si="31"/>
        <v/>
      </c>
      <c r="D357" s="14" t="str">
        <f t="shared" si="32"/>
        <v/>
      </c>
      <c r="E357" s="14" t="str">
        <f t="shared" si="33"/>
        <v/>
      </c>
      <c r="F357" s="14" t="str">
        <f t="shared" si="34"/>
        <v/>
      </c>
    </row>
    <row r="358" spans="1:6">
      <c r="A358" s="7" t="str">
        <f t="shared" si="35"/>
        <v/>
      </c>
      <c r="B358" s="14" t="str">
        <f t="shared" si="30"/>
        <v/>
      </c>
      <c r="C358" s="14" t="str">
        <f t="shared" si="31"/>
        <v/>
      </c>
      <c r="D358" s="14" t="str">
        <f t="shared" si="32"/>
        <v/>
      </c>
      <c r="E358" s="14" t="str">
        <f t="shared" si="33"/>
        <v/>
      </c>
      <c r="F358" s="14" t="str">
        <f t="shared" si="34"/>
        <v/>
      </c>
    </row>
    <row r="359" spans="1:6">
      <c r="A359" s="7" t="str">
        <f t="shared" si="35"/>
        <v/>
      </c>
      <c r="B359" s="14" t="str">
        <f t="shared" si="30"/>
        <v/>
      </c>
      <c r="C359" s="14" t="str">
        <f t="shared" si="31"/>
        <v/>
      </c>
      <c r="D359" s="14" t="str">
        <f t="shared" si="32"/>
        <v/>
      </c>
      <c r="E359" s="14" t="str">
        <f t="shared" si="33"/>
        <v/>
      </c>
      <c r="F359" s="14" t="str">
        <f t="shared" si="34"/>
        <v/>
      </c>
    </row>
    <row r="360" spans="1:6">
      <c r="A360" s="7" t="str">
        <f t="shared" si="35"/>
        <v/>
      </c>
      <c r="B360" s="14" t="str">
        <f t="shared" si="30"/>
        <v/>
      </c>
      <c r="C360" s="14" t="str">
        <f t="shared" si="31"/>
        <v/>
      </c>
      <c r="D360" s="14" t="str">
        <f t="shared" si="32"/>
        <v/>
      </c>
      <c r="E360" s="14" t="str">
        <f t="shared" si="33"/>
        <v/>
      </c>
      <c r="F360" s="14" t="str">
        <f t="shared" si="34"/>
        <v/>
      </c>
    </row>
    <row r="361" spans="1:6">
      <c r="A361" s="7" t="str">
        <f t="shared" si="35"/>
        <v/>
      </c>
      <c r="B361" s="14" t="str">
        <f t="shared" si="30"/>
        <v/>
      </c>
      <c r="C361" s="14" t="str">
        <f t="shared" si="31"/>
        <v/>
      </c>
      <c r="D361" s="14" t="str">
        <f t="shared" si="32"/>
        <v/>
      </c>
      <c r="E361" s="14" t="str">
        <f t="shared" si="33"/>
        <v/>
      </c>
      <c r="F361" s="14" t="str">
        <f t="shared" si="34"/>
        <v/>
      </c>
    </row>
    <row r="362" spans="1:6">
      <c r="A362" s="7" t="str">
        <f t="shared" si="35"/>
        <v/>
      </c>
      <c r="B362" s="14" t="str">
        <f t="shared" si="30"/>
        <v/>
      </c>
      <c r="C362" s="14" t="str">
        <f t="shared" si="31"/>
        <v/>
      </c>
      <c r="D362" s="14" t="str">
        <f t="shared" si="32"/>
        <v/>
      </c>
      <c r="E362" s="14" t="str">
        <f t="shared" si="33"/>
        <v/>
      </c>
      <c r="F362" s="14" t="str">
        <f t="shared" si="34"/>
        <v/>
      </c>
    </row>
    <row r="363" spans="1:6">
      <c r="A363" s="7" t="str">
        <f t="shared" si="35"/>
        <v/>
      </c>
      <c r="B363" s="14" t="str">
        <f t="shared" si="30"/>
        <v/>
      </c>
      <c r="C363" s="14" t="str">
        <f t="shared" si="31"/>
        <v/>
      </c>
      <c r="D363" s="14" t="str">
        <f t="shared" si="32"/>
        <v/>
      </c>
      <c r="E363" s="14" t="str">
        <f t="shared" si="33"/>
        <v/>
      </c>
      <c r="F363" s="14" t="str">
        <f t="shared" si="34"/>
        <v/>
      </c>
    </row>
    <row r="364" spans="1:6">
      <c r="A364" s="7" t="str">
        <f t="shared" si="35"/>
        <v/>
      </c>
      <c r="B364" s="14" t="str">
        <f t="shared" si="30"/>
        <v/>
      </c>
      <c r="C364" s="14" t="str">
        <f t="shared" si="31"/>
        <v/>
      </c>
      <c r="D364" s="14" t="str">
        <f t="shared" si="32"/>
        <v/>
      </c>
      <c r="E364" s="14" t="str">
        <f t="shared" si="33"/>
        <v/>
      </c>
      <c r="F364" s="14" t="str">
        <f t="shared" si="34"/>
        <v/>
      </c>
    </row>
    <row r="365" spans="1:6">
      <c r="A365" s="7" t="str">
        <f t="shared" si="35"/>
        <v/>
      </c>
      <c r="B365" s="14" t="str">
        <f t="shared" si="30"/>
        <v/>
      </c>
      <c r="C365" s="14" t="str">
        <f t="shared" si="31"/>
        <v/>
      </c>
      <c r="D365" s="14" t="str">
        <f t="shared" si="32"/>
        <v/>
      </c>
      <c r="E365" s="14" t="str">
        <f t="shared" si="33"/>
        <v/>
      </c>
      <c r="F365" s="14" t="str">
        <f t="shared" si="34"/>
        <v/>
      </c>
    </row>
    <row r="366" spans="1:6">
      <c r="A366" s="7" t="str">
        <f t="shared" si="35"/>
        <v/>
      </c>
      <c r="B366" s="14" t="str">
        <f t="shared" si="30"/>
        <v/>
      </c>
      <c r="C366" s="14" t="str">
        <f t="shared" si="31"/>
        <v/>
      </c>
      <c r="D366" s="14" t="str">
        <f t="shared" si="32"/>
        <v/>
      </c>
      <c r="E366" s="14" t="str">
        <f t="shared" si="33"/>
        <v/>
      </c>
      <c r="F366" s="14" t="str">
        <f t="shared" si="34"/>
        <v/>
      </c>
    </row>
    <row r="367" spans="1:6">
      <c r="A367" s="7" t="str">
        <f t="shared" si="35"/>
        <v/>
      </c>
      <c r="B367" s="14" t="str">
        <f t="shared" si="30"/>
        <v/>
      </c>
      <c r="C367" s="14" t="str">
        <f t="shared" si="31"/>
        <v/>
      </c>
      <c r="D367" s="14" t="str">
        <f t="shared" si="32"/>
        <v/>
      </c>
      <c r="E367" s="14" t="str">
        <f t="shared" si="33"/>
        <v/>
      </c>
      <c r="F367" s="14" t="str">
        <f t="shared" si="34"/>
        <v/>
      </c>
    </row>
    <row r="368" spans="1:6">
      <c r="A368" s="7" t="str">
        <f t="shared" si="35"/>
        <v/>
      </c>
      <c r="B368" s="14" t="str">
        <f t="shared" si="30"/>
        <v/>
      </c>
      <c r="C368" s="14" t="str">
        <f t="shared" si="31"/>
        <v/>
      </c>
      <c r="D368" s="14" t="str">
        <f t="shared" si="32"/>
        <v/>
      </c>
      <c r="E368" s="14" t="str">
        <f t="shared" si="33"/>
        <v/>
      </c>
      <c r="F368" s="14" t="str">
        <f t="shared" si="34"/>
        <v/>
      </c>
    </row>
    <row r="369" spans="1:6">
      <c r="A369" s="7" t="str">
        <f t="shared" si="35"/>
        <v/>
      </c>
      <c r="B369" s="14" t="str">
        <f t="shared" si="30"/>
        <v/>
      </c>
      <c r="C369" s="14" t="str">
        <f t="shared" si="31"/>
        <v/>
      </c>
      <c r="D369" s="14" t="str">
        <f t="shared" si="32"/>
        <v/>
      </c>
      <c r="E369" s="14" t="str">
        <f t="shared" si="33"/>
        <v/>
      </c>
      <c r="F369" s="14" t="str">
        <f t="shared" si="34"/>
        <v/>
      </c>
    </row>
    <row r="370" spans="1:6">
      <c r="A370" s="7" t="str">
        <f t="shared" si="35"/>
        <v/>
      </c>
      <c r="B370" s="14" t="str">
        <f t="shared" si="30"/>
        <v/>
      </c>
      <c r="C370" s="14" t="str">
        <f t="shared" si="31"/>
        <v/>
      </c>
      <c r="D370" s="14" t="str">
        <f t="shared" si="32"/>
        <v/>
      </c>
      <c r="E370" s="14" t="str">
        <f t="shared" si="33"/>
        <v/>
      </c>
      <c r="F370" s="14" t="str">
        <f t="shared" si="34"/>
        <v/>
      </c>
    </row>
    <row r="371" spans="1:6">
      <c r="A371" s="7" t="str">
        <f t="shared" si="35"/>
        <v/>
      </c>
      <c r="B371" s="14" t="str">
        <f t="shared" si="30"/>
        <v/>
      </c>
      <c r="C371" s="14" t="str">
        <f t="shared" si="31"/>
        <v/>
      </c>
      <c r="D371" s="14" t="str">
        <f t="shared" si="32"/>
        <v/>
      </c>
      <c r="E371" s="14" t="str">
        <f t="shared" si="33"/>
        <v/>
      </c>
      <c r="F371" s="14" t="str">
        <f t="shared" si="34"/>
        <v/>
      </c>
    </row>
    <row r="372" spans="1:6">
      <c r="A372" s="7" t="str">
        <f t="shared" si="35"/>
        <v/>
      </c>
      <c r="B372" s="14" t="str">
        <f t="shared" si="30"/>
        <v/>
      </c>
      <c r="C372" s="14" t="str">
        <f t="shared" si="31"/>
        <v/>
      </c>
      <c r="D372" s="14" t="str">
        <f t="shared" si="32"/>
        <v/>
      </c>
      <c r="E372" s="14" t="str">
        <f t="shared" si="33"/>
        <v/>
      </c>
      <c r="F372" s="14" t="str">
        <f t="shared" si="34"/>
        <v/>
      </c>
    </row>
    <row r="373" spans="1:6">
      <c r="A373" s="7" t="str">
        <f t="shared" si="35"/>
        <v/>
      </c>
      <c r="B373" s="14" t="str">
        <f t="shared" si="30"/>
        <v/>
      </c>
      <c r="C373" s="14" t="str">
        <f t="shared" si="31"/>
        <v/>
      </c>
      <c r="D373" s="14" t="str">
        <f t="shared" si="32"/>
        <v/>
      </c>
      <c r="E373" s="14" t="str">
        <f t="shared" si="33"/>
        <v/>
      </c>
      <c r="F373" s="14" t="str">
        <f t="shared" si="34"/>
        <v/>
      </c>
    </row>
    <row r="374" spans="1:6">
      <c r="A374" s="7" t="str">
        <f t="shared" si="35"/>
        <v/>
      </c>
      <c r="B374" s="14" t="str">
        <f t="shared" si="30"/>
        <v/>
      </c>
      <c r="C374" s="14" t="str">
        <f t="shared" si="31"/>
        <v/>
      </c>
      <c r="D374" s="14" t="str">
        <f t="shared" si="32"/>
        <v/>
      </c>
      <c r="E374" s="14" t="str">
        <f t="shared" si="33"/>
        <v/>
      </c>
      <c r="F374" s="14" t="str">
        <f t="shared" si="34"/>
        <v/>
      </c>
    </row>
    <row r="375" spans="1:6">
      <c r="A375" s="7" t="str">
        <f t="shared" si="35"/>
        <v/>
      </c>
      <c r="B375" s="14" t="str">
        <f t="shared" si="30"/>
        <v/>
      </c>
      <c r="C375" s="14" t="str">
        <f t="shared" si="31"/>
        <v/>
      </c>
      <c r="D375" s="14" t="str">
        <f t="shared" si="32"/>
        <v/>
      </c>
      <c r="E375" s="14" t="str">
        <f t="shared" si="33"/>
        <v/>
      </c>
      <c r="F375" s="14" t="str">
        <f t="shared" si="34"/>
        <v/>
      </c>
    </row>
    <row r="376" spans="1:6">
      <c r="A376" s="7" t="str">
        <f t="shared" si="35"/>
        <v/>
      </c>
      <c r="B376" s="14" t="str">
        <f t="shared" si="30"/>
        <v/>
      </c>
      <c r="C376" s="14" t="str">
        <f t="shared" si="31"/>
        <v/>
      </c>
      <c r="D376" s="14" t="str">
        <f t="shared" si="32"/>
        <v/>
      </c>
      <c r="E376" s="14" t="str">
        <f t="shared" si="33"/>
        <v/>
      </c>
      <c r="F376" s="14" t="str">
        <f t="shared" si="34"/>
        <v/>
      </c>
    </row>
    <row r="377" spans="1:6">
      <c r="A377" s="7" t="str">
        <f t="shared" si="35"/>
        <v/>
      </c>
      <c r="B377" s="14" t="str">
        <f t="shared" si="30"/>
        <v/>
      </c>
      <c r="C377" s="14" t="str">
        <f t="shared" si="31"/>
        <v/>
      </c>
      <c r="D377" s="14" t="str">
        <f t="shared" si="32"/>
        <v/>
      </c>
      <c r="E377" s="14" t="str">
        <f t="shared" si="33"/>
        <v/>
      </c>
      <c r="F377" s="14" t="str">
        <f t="shared" si="34"/>
        <v/>
      </c>
    </row>
    <row r="378" spans="1:6">
      <c r="A378" s="7" t="str">
        <f t="shared" si="35"/>
        <v/>
      </c>
      <c r="B378" s="14" t="str">
        <f t="shared" si="30"/>
        <v/>
      </c>
      <c r="C378" s="14" t="str">
        <f t="shared" si="31"/>
        <v/>
      </c>
      <c r="D378" s="14" t="str">
        <f t="shared" si="32"/>
        <v/>
      </c>
      <c r="E378" s="14" t="str">
        <f t="shared" si="33"/>
        <v/>
      </c>
      <c r="F378" s="14" t="str">
        <f t="shared" si="34"/>
        <v/>
      </c>
    </row>
    <row r="379" spans="1:6">
      <c r="A379" s="7" t="str">
        <f t="shared" si="35"/>
        <v/>
      </c>
      <c r="B379" s="14" t="str">
        <f t="shared" si="30"/>
        <v/>
      </c>
      <c r="C379" s="14" t="str">
        <f t="shared" si="31"/>
        <v/>
      </c>
      <c r="D379" s="14" t="str">
        <f t="shared" si="32"/>
        <v/>
      </c>
      <c r="E379" s="14" t="str">
        <f t="shared" si="33"/>
        <v/>
      </c>
      <c r="F379" s="14" t="str">
        <f t="shared" si="34"/>
        <v/>
      </c>
    </row>
  </sheetData>
  <phoneticPr fontId="3" type="noConversion"/>
  <pageMargins left="0.78740157480314965" right="0.78740157480314965" top="0.98425196850393704" bottom="0.98425196850393704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indexed="8"/>
  </sheetPr>
  <dimension ref="A1:I379"/>
  <sheetViews>
    <sheetView showGridLines="0" zoomScale="85" workbookViewId="0">
      <selection activeCell="I32" sqref="I32"/>
    </sheetView>
  </sheetViews>
  <sheetFormatPr baseColWidth="10" defaultColWidth="9.140625" defaultRowHeight="13.5"/>
  <cols>
    <col min="1" max="1" width="11.140625" style="7" customWidth="1"/>
    <col min="2" max="2" width="12.42578125" style="6" customWidth="1"/>
    <col min="3" max="3" width="17.5703125" style="6" customWidth="1"/>
    <col min="4" max="4" width="14.42578125" style="6" customWidth="1"/>
    <col min="5" max="5" width="17.85546875" style="6" customWidth="1"/>
    <col min="6" max="6" width="12.85546875" style="6" bestFit="1" customWidth="1"/>
    <col min="7" max="7" width="9.140625" style="6" customWidth="1"/>
    <col min="8" max="8" width="14.7109375" style="6" customWidth="1"/>
    <col min="9" max="16384" width="9.140625" style="6"/>
  </cols>
  <sheetData>
    <row r="1" spans="1:9">
      <c r="A1" s="4" t="str">
        <f>+'Cálculo préstamo Año 2'!A1</f>
        <v>ALFA</v>
      </c>
    </row>
    <row r="2" spans="1:9">
      <c r="A2" s="4" t="s">
        <v>190</v>
      </c>
      <c r="B2" s="222">
        <f>+'C Balance'!L5</f>
        <v>2016</v>
      </c>
    </row>
    <row r="4" spans="1:9">
      <c r="A4" s="4" t="s">
        <v>2</v>
      </c>
      <c r="B4" s="5" t="s">
        <v>191</v>
      </c>
      <c r="C4" s="5"/>
      <c r="D4" s="5"/>
      <c r="E4" s="223">
        <f>+'2 Financiación'!L20</f>
        <v>966.99</v>
      </c>
    </row>
    <row r="5" spans="1:9">
      <c r="A5" s="4"/>
      <c r="B5" s="6" t="s">
        <v>192</v>
      </c>
      <c r="E5" s="14"/>
    </row>
    <row r="6" spans="1:9">
      <c r="B6" s="6" t="s">
        <v>193</v>
      </c>
      <c r="D6" s="8"/>
      <c r="E6" s="14"/>
    </row>
    <row r="7" spans="1:9">
      <c r="B7" s="5" t="s">
        <v>30</v>
      </c>
      <c r="C7" s="5"/>
      <c r="D7" s="5"/>
      <c r="E7" s="223">
        <f>+E4-E5-E6</f>
        <v>966.99</v>
      </c>
      <c r="F7" s="2"/>
    </row>
    <row r="8" spans="1:9">
      <c r="B8" s="6" t="s">
        <v>194</v>
      </c>
      <c r="E8" s="8">
        <f>+'2 Financiación'!L31</f>
        <v>0.08</v>
      </c>
      <c r="F8" s="9"/>
    </row>
    <row r="9" spans="1:9">
      <c r="B9" s="6" t="s">
        <v>195</v>
      </c>
      <c r="E9" s="6">
        <f>+'2 Financiación'!L32*'Cálculo préstamo Año 3'!E10</f>
        <v>60</v>
      </c>
      <c r="F9" s="476">
        <f>+E9/12</f>
        <v>5</v>
      </c>
    </row>
    <row r="10" spans="1:9">
      <c r="B10" s="6" t="s">
        <v>196</v>
      </c>
      <c r="E10" s="6">
        <v>12</v>
      </c>
      <c r="F10" s="9"/>
    </row>
    <row r="11" spans="1:9">
      <c r="B11" s="6" t="s">
        <v>197</v>
      </c>
      <c r="E11" s="10"/>
      <c r="F11" s="11">
        <f>+E11*E4</f>
        <v>0</v>
      </c>
      <c r="G11" s="12"/>
    </row>
    <row r="12" spans="1:9">
      <c r="E12" s="12"/>
      <c r="F12" s="9"/>
    </row>
    <row r="13" spans="1:9">
      <c r="D13" s="5" t="s">
        <v>201</v>
      </c>
      <c r="E13" s="91">
        <f>PMT(E8/E10, E9, E7)*(-1)</f>
        <v>19.607070512953282</v>
      </c>
      <c r="F13" s="11"/>
      <c r="G13" s="11"/>
    </row>
    <row r="14" spans="1:9">
      <c r="I14" s="224"/>
    </row>
    <row r="15" spans="1:9" ht="14.25" thickBot="1">
      <c r="A15" s="94" t="s">
        <v>3</v>
      </c>
      <c r="B15" s="95" t="s">
        <v>1</v>
      </c>
      <c r="C15" s="95" t="s">
        <v>198</v>
      </c>
      <c r="D15" s="95" t="s">
        <v>199</v>
      </c>
      <c r="E15" s="95" t="s">
        <v>200</v>
      </c>
      <c r="F15" s="95" t="s">
        <v>4</v>
      </c>
    </row>
    <row r="17" spans="1:8">
      <c r="A17" s="13" t="s">
        <v>252</v>
      </c>
      <c r="B17" s="14">
        <f>+SUM(B20:B379)</f>
        <v>1176.4242307771974</v>
      </c>
      <c r="C17" s="14">
        <f>+SUM(C20:C379)</f>
        <v>209.43413333333334</v>
      </c>
      <c r="D17" s="14">
        <f>+SUM(D20:D379)</f>
        <v>966.99009744386353</v>
      </c>
      <c r="E17" s="14"/>
    </row>
    <row r="18" spans="1:8">
      <c r="B18" s="2"/>
      <c r="C18" s="2"/>
      <c r="D18" s="2"/>
    </row>
    <row r="19" spans="1:8">
      <c r="C19" s="15"/>
      <c r="D19" s="15"/>
      <c r="E19" s="15"/>
      <c r="F19" s="14">
        <f>E7</f>
        <v>966.99</v>
      </c>
    </row>
    <row r="20" spans="1:8" s="225" customFormat="1">
      <c r="A20" s="16">
        <v>1</v>
      </c>
      <c r="B20" s="17">
        <f t="shared" ref="B20:B83" si="0">IF(A20&lt;=$E$9,C20+D20,"")</f>
        <v>19.607070512953282</v>
      </c>
      <c r="C20" s="17">
        <f t="shared" ref="C20:C83" si="1">IF(A20&lt;=$E$9,F19*($E$8/$E$10),"")</f>
        <v>6.4466000000000001</v>
      </c>
      <c r="D20" s="17">
        <f t="shared" ref="D20:D83" si="2">IF(A20&lt;=$E$9,$E$13-C20,"")</f>
        <v>13.160470512953282</v>
      </c>
      <c r="E20" s="17">
        <f t="shared" ref="E20:E83" si="3">IF(A20&lt;=$E$9,E19+D20,"")</f>
        <v>13.160470512953282</v>
      </c>
      <c r="F20" s="17">
        <f t="shared" ref="F20:F83" si="4">IF(A20&lt;=$E$9,ROUND(($F$19-E20),2),"")</f>
        <v>953.83</v>
      </c>
      <c r="H20" s="226"/>
    </row>
    <row r="21" spans="1:8" s="225" customFormat="1">
      <c r="A21" s="16">
        <f t="shared" ref="A21:A84" si="5">IF(A20&lt;$E$9,A20+1,"")</f>
        <v>2</v>
      </c>
      <c r="B21" s="17">
        <f t="shared" si="0"/>
        <v>19.607070512953282</v>
      </c>
      <c r="C21" s="17">
        <f t="shared" si="1"/>
        <v>6.3588666666666676</v>
      </c>
      <c r="D21" s="17">
        <f t="shared" si="2"/>
        <v>13.248203846286614</v>
      </c>
      <c r="E21" s="17">
        <f t="shared" si="3"/>
        <v>26.408674359239896</v>
      </c>
      <c r="F21" s="17">
        <f t="shared" si="4"/>
        <v>940.58</v>
      </c>
      <c r="H21" s="226"/>
    </row>
    <row r="22" spans="1:8" s="225" customFormat="1">
      <c r="A22" s="16">
        <f t="shared" si="5"/>
        <v>3</v>
      </c>
      <c r="B22" s="17">
        <f t="shared" si="0"/>
        <v>19.607070512953282</v>
      </c>
      <c r="C22" s="17">
        <f t="shared" si="1"/>
        <v>6.2705333333333337</v>
      </c>
      <c r="D22" s="17">
        <f t="shared" si="2"/>
        <v>13.336537179619949</v>
      </c>
      <c r="E22" s="17">
        <f t="shared" si="3"/>
        <v>39.745211538859849</v>
      </c>
      <c r="F22" s="17">
        <f t="shared" si="4"/>
        <v>927.24</v>
      </c>
      <c r="H22" s="226"/>
    </row>
    <row r="23" spans="1:8">
      <c r="A23" s="16">
        <f t="shared" si="5"/>
        <v>4</v>
      </c>
      <c r="B23" s="17">
        <f t="shared" si="0"/>
        <v>19.607070512953282</v>
      </c>
      <c r="C23" s="17">
        <f t="shared" si="1"/>
        <v>6.1816000000000004</v>
      </c>
      <c r="D23" s="17">
        <f t="shared" si="2"/>
        <v>13.425470512953282</v>
      </c>
      <c r="E23" s="17">
        <f t="shared" si="3"/>
        <v>53.170682051813131</v>
      </c>
      <c r="F23" s="17">
        <f t="shared" si="4"/>
        <v>913.82</v>
      </c>
      <c r="H23" s="227"/>
    </row>
    <row r="24" spans="1:8">
      <c r="A24" s="16">
        <f t="shared" si="5"/>
        <v>5</v>
      </c>
      <c r="B24" s="17">
        <f t="shared" si="0"/>
        <v>19.607070512953282</v>
      </c>
      <c r="C24" s="17">
        <f t="shared" si="1"/>
        <v>6.0921333333333338</v>
      </c>
      <c r="D24" s="17">
        <f t="shared" si="2"/>
        <v>13.514937179619949</v>
      </c>
      <c r="E24" s="17">
        <f t="shared" si="3"/>
        <v>66.68561923143308</v>
      </c>
      <c r="F24" s="17">
        <f t="shared" si="4"/>
        <v>900.3</v>
      </c>
      <c r="H24" s="227"/>
    </row>
    <row r="25" spans="1:8">
      <c r="A25" s="16">
        <f t="shared" si="5"/>
        <v>6</v>
      </c>
      <c r="B25" s="17">
        <f t="shared" si="0"/>
        <v>19.607070512953282</v>
      </c>
      <c r="C25" s="17">
        <f t="shared" si="1"/>
        <v>6.0019999999999998</v>
      </c>
      <c r="D25" s="17">
        <f t="shared" si="2"/>
        <v>13.605070512953283</v>
      </c>
      <c r="E25" s="17">
        <f t="shared" si="3"/>
        <v>80.290689744386356</v>
      </c>
      <c r="F25" s="17">
        <f t="shared" si="4"/>
        <v>886.7</v>
      </c>
      <c r="H25" s="227"/>
    </row>
    <row r="26" spans="1:8">
      <c r="A26" s="16">
        <f t="shared" si="5"/>
        <v>7</v>
      </c>
      <c r="B26" s="17">
        <f t="shared" si="0"/>
        <v>19.607070512953282</v>
      </c>
      <c r="C26" s="17">
        <f t="shared" si="1"/>
        <v>5.9113333333333342</v>
      </c>
      <c r="D26" s="17">
        <f t="shared" si="2"/>
        <v>13.695737179619947</v>
      </c>
      <c r="E26" s="17">
        <f t="shared" si="3"/>
        <v>93.986426924006309</v>
      </c>
      <c r="F26" s="17">
        <f t="shared" si="4"/>
        <v>873</v>
      </c>
      <c r="H26" s="227"/>
    </row>
    <row r="27" spans="1:8">
      <c r="A27" s="16">
        <f t="shared" si="5"/>
        <v>8</v>
      </c>
      <c r="B27" s="17">
        <f t="shared" si="0"/>
        <v>19.607070512953282</v>
      </c>
      <c r="C27" s="17">
        <f t="shared" si="1"/>
        <v>5.82</v>
      </c>
      <c r="D27" s="17">
        <f t="shared" si="2"/>
        <v>13.787070512953282</v>
      </c>
      <c r="E27" s="17">
        <f t="shared" si="3"/>
        <v>107.77349743695959</v>
      </c>
      <c r="F27" s="17">
        <f t="shared" si="4"/>
        <v>859.22</v>
      </c>
      <c r="H27" s="227"/>
    </row>
    <row r="28" spans="1:8">
      <c r="A28" s="16">
        <f t="shared" si="5"/>
        <v>9</v>
      </c>
      <c r="B28" s="17">
        <f t="shared" si="0"/>
        <v>19.607070512953282</v>
      </c>
      <c r="C28" s="17">
        <f t="shared" si="1"/>
        <v>5.728133333333334</v>
      </c>
      <c r="D28" s="17">
        <f t="shared" si="2"/>
        <v>13.878937179619948</v>
      </c>
      <c r="E28" s="17">
        <f t="shared" si="3"/>
        <v>121.65243461657954</v>
      </c>
      <c r="F28" s="17">
        <f t="shared" si="4"/>
        <v>845.34</v>
      </c>
    </row>
    <row r="29" spans="1:8">
      <c r="A29" s="16">
        <f t="shared" si="5"/>
        <v>10</v>
      </c>
      <c r="B29" s="17">
        <f t="shared" si="0"/>
        <v>19.607070512953282</v>
      </c>
      <c r="C29" s="17">
        <f t="shared" si="1"/>
        <v>5.6356000000000002</v>
      </c>
      <c r="D29" s="17">
        <f t="shared" si="2"/>
        <v>13.971470512953282</v>
      </c>
      <c r="E29" s="17">
        <f t="shared" si="3"/>
        <v>135.62390512953283</v>
      </c>
      <c r="F29" s="17">
        <f t="shared" si="4"/>
        <v>831.37</v>
      </c>
    </row>
    <row r="30" spans="1:8">
      <c r="A30" s="16">
        <f t="shared" si="5"/>
        <v>11</v>
      </c>
      <c r="B30" s="17">
        <f t="shared" si="0"/>
        <v>19.607070512953282</v>
      </c>
      <c r="C30" s="17">
        <f t="shared" si="1"/>
        <v>5.5424666666666669</v>
      </c>
      <c r="D30" s="17">
        <f t="shared" si="2"/>
        <v>14.064603846286616</v>
      </c>
      <c r="E30" s="17">
        <f t="shared" si="3"/>
        <v>149.68850897581945</v>
      </c>
      <c r="F30" s="17">
        <f t="shared" si="4"/>
        <v>817.3</v>
      </c>
    </row>
    <row r="31" spans="1:8">
      <c r="A31" s="16">
        <f t="shared" si="5"/>
        <v>12</v>
      </c>
      <c r="B31" s="17">
        <f t="shared" si="0"/>
        <v>19.607070512953282</v>
      </c>
      <c r="C31" s="17">
        <f t="shared" si="1"/>
        <v>5.448666666666667</v>
      </c>
      <c r="D31" s="17">
        <f t="shared" si="2"/>
        <v>14.158403846286614</v>
      </c>
      <c r="E31" s="17">
        <f t="shared" si="3"/>
        <v>163.84691282210605</v>
      </c>
      <c r="F31" s="17">
        <f t="shared" si="4"/>
        <v>803.14</v>
      </c>
    </row>
    <row r="32" spans="1:8">
      <c r="A32" s="16">
        <f t="shared" si="5"/>
        <v>13</v>
      </c>
      <c r="B32" s="17">
        <f t="shared" si="0"/>
        <v>19.607070512953282</v>
      </c>
      <c r="C32" s="17">
        <f t="shared" si="1"/>
        <v>5.3542666666666667</v>
      </c>
      <c r="D32" s="17">
        <f t="shared" si="2"/>
        <v>14.252803846286614</v>
      </c>
      <c r="E32" s="17">
        <f t="shared" si="3"/>
        <v>178.09971666839266</v>
      </c>
      <c r="F32" s="17">
        <f t="shared" si="4"/>
        <v>788.89</v>
      </c>
    </row>
    <row r="33" spans="1:6">
      <c r="A33" s="16">
        <f t="shared" si="5"/>
        <v>14</v>
      </c>
      <c r="B33" s="17">
        <f t="shared" si="0"/>
        <v>19.607070512953282</v>
      </c>
      <c r="C33" s="17">
        <f t="shared" si="1"/>
        <v>5.259266666666667</v>
      </c>
      <c r="D33" s="17">
        <f t="shared" si="2"/>
        <v>14.347803846286615</v>
      </c>
      <c r="E33" s="17">
        <f t="shared" si="3"/>
        <v>192.44752051467927</v>
      </c>
      <c r="F33" s="17">
        <f t="shared" si="4"/>
        <v>774.54</v>
      </c>
    </row>
    <row r="34" spans="1:6">
      <c r="A34" s="16">
        <f t="shared" si="5"/>
        <v>15</v>
      </c>
      <c r="B34" s="17">
        <f t="shared" si="0"/>
        <v>19.607070512953282</v>
      </c>
      <c r="C34" s="17">
        <f t="shared" si="1"/>
        <v>5.1635999999999997</v>
      </c>
      <c r="D34" s="17">
        <f t="shared" si="2"/>
        <v>14.443470512953283</v>
      </c>
      <c r="E34" s="17">
        <f t="shared" si="3"/>
        <v>206.89099102763254</v>
      </c>
      <c r="F34" s="17">
        <f t="shared" si="4"/>
        <v>760.1</v>
      </c>
    </row>
    <row r="35" spans="1:6">
      <c r="A35" s="7">
        <f t="shared" si="5"/>
        <v>16</v>
      </c>
      <c r="B35" s="14">
        <f t="shared" si="0"/>
        <v>19.607070512953282</v>
      </c>
      <c r="C35" s="14">
        <f t="shared" si="1"/>
        <v>5.0673333333333339</v>
      </c>
      <c r="D35" s="14">
        <f t="shared" si="2"/>
        <v>14.539737179619948</v>
      </c>
      <c r="E35" s="14">
        <f t="shared" si="3"/>
        <v>221.43072820725249</v>
      </c>
      <c r="F35" s="14">
        <f t="shared" si="4"/>
        <v>745.56</v>
      </c>
    </row>
    <row r="36" spans="1:6">
      <c r="A36" s="7">
        <f t="shared" si="5"/>
        <v>17</v>
      </c>
      <c r="B36" s="14">
        <f t="shared" si="0"/>
        <v>19.607070512953282</v>
      </c>
      <c r="C36" s="14">
        <f t="shared" si="1"/>
        <v>4.9703999999999997</v>
      </c>
      <c r="D36" s="14">
        <f t="shared" si="2"/>
        <v>14.636670512953282</v>
      </c>
      <c r="E36" s="14">
        <f t="shared" si="3"/>
        <v>236.06739872020577</v>
      </c>
      <c r="F36" s="14">
        <f t="shared" si="4"/>
        <v>730.92</v>
      </c>
    </row>
    <row r="37" spans="1:6">
      <c r="A37" s="7">
        <f t="shared" si="5"/>
        <v>18</v>
      </c>
      <c r="B37" s="14">
        <f t="shared" si="0"/>
        <v>19.607070512953282</v>
      </c>
      <c r="C37" s="14">
        <f t="shared" si="1"/>
        <v>4.8727999999999998</v>
      </c>
      <c r="D37" s="14">
        <f t="shared" si="2"/>
        <v>14.734270512953282</v>
      </c>
      <c r="E37" s="14">
        <f t="shared" si="3"/>
        <v>250.80166923315906</v>
      </c>
      <c r="F37" s="14">
        <f t="shared" si="4"/>
        <v>716.19</v>
      </c>
    </row>
    <row r="38" spans="1:6">
      <c r="A38" s="7">
        <f t="shared" si="5"/>
        <v>19</v>
      </c>
      <c r="B38" s="14">
        <f t="shared" si="0"/>
        <v>19.607070512953282</v>
      </c>
      <c r="C38" s="14">
        <f t="shared" si="1"/>
        <v>4.7746000000000004</v>
      </c>
      <c r="D38" s="14">
        <f t="shared" si="2"/>
        <v>14.832470512953282</v>
      </c>
      <c r="E38" s="14">
        <f t="shared" si="3"/>
        <v>265.63413974611234</v>
      </c>
      <c r="F38" s="14">
        <f t="shared" si="4"/>
        <v>701.36</v>
      </c>
    </row>
    <row r="39" spans="1:6">
      <c r="A39" s="7">
        <f t="shared" si="5"/>
        <v>20</v>
      </c>
      <c r="B39" s="14">
        <f t="shared" si="0"/>
        <v>19.607070512953282</v>
      </c>
      <c r="C39" s="14">
        <f t="shared" si="1"/>
        <v>4.6757333333333335</v>
      </c>
      <c r="D39" s="14">
        <f t="shared" si="2"/>
        <v>14.931337179619948</v>
      </c>
      <c r="E39" s="14">
        <f t="shared" si="3"/>
        <v>280.5654769257323</v>
      </c>
      <c r="F39" s="14">
        <f t="shared" si="4"/>
        <v>686.42</v>
      </c>
    </row>
    <row r="40" spans="1:6">
      <c r="A40" s="7">
        <f t="shared" si="5"/>
        <v>21</v>
      </c>
      <c r="B40" s="14">
        <f t="shared" si="0"/>
        <v>19.607070512953282</v>
      </c>
      <c r="C40" s="14">
        <f t="shared" si="1"/>
        <v>4.5761333333333329</v>
      </c>
      <c r="D40" s="14">
        <f t="shared" si="2"/>
        <v>15.030937179619949</v>
      </c>
      <c r="E40" s="14">
        <f t="shared" si="3"/>
        <v>295.59641410535227</v>
      </c>
      <c r="F40" s="14">
        <f t="shared" si="4"/>
        <v>671.39</v>
      </c>
    </row>
    <row r="41" spans="1:6">
      <c r="A41" s="7">
        <f t="shared" si="5"/>
        <v>22</v>
      </c>
      <c r="B41" s="14">
        <f t="shared" si="0"/>
        <v>19.607070512953282</v>
      </c>
      <c r="C41" s="14">
        <f t="shared" si="1"/>
        <v>4.4759333333333338</v>
      </c>
      <c r="D41" s="14">
        <f t="shared" si="2"/>
        <v>15.131137179619948</v>
      </c>
      <c r="E41" s="14">
        <f t="shared" si="3"/>
        <v>310.72755128497221</v>
      </c>
      <c r="F41" s="14">
        <f t="shared" si="4"/>
        <v>656.26</v>
      </c>
    </row>
    <row r="42" spans="1:6">
      <c r="A42" s="7">
        <f t="shared" si="5"/>
        <v>23</v>
      </c>
      <c r="B42" s="14">
        <f t="shared" si="0"/>
        <v>19.607070512953282</v>
      </c>
      <c r="C42" s="14">
        <f t="shared" si="1"/>
        <v>4.3750666666666671</v>
      </c>
      <c r="D42" s="14">
        <f t="shared" si="2"/>
        <v>15.232003846286615</v>
      </c>
      <c r="E42" s="14">
        <f t="shared" si="3"/>
        <v>325.95955513125881</v>
      </c>
      <c r="F42" s="14">
        <f t="shared" si="4"/>
        <v>641.03</v>
      </c>
    </row>
    <row r="43" spans="1:6">
      <c r="A43" s="7">
        <f t="shared" si="5"/>
        <v>24</v>
      </c>
      <c r="B43" s="14">
        <f t="shared" si="0"/>
        <v>19.607070512953282</v>
      </c>
      <c r="C43" s="14">
        <f t="shared" si="1"/>
        <v>4.2735333333333339</v>
      </c>
      <c r="D43" s="14">
        <f t="shared" si="2"/>
        <v>15.333537179619949</v>
      </c>
      <c r="E43" s="14">
        <f t="shared" si="3"/>
        <v>341.29309231087876</v>
      </c>
      <c r="F43" s="14">
        <f t="shared" si="4"/>
        <v>625.70000000000005</v>
      </c>
    </row>
    <row r="44" spans="1:6">
      <c r="A44" s="7">
        <f t="shared" si="5"/>
        <v>25</v>
      </c>
      <c r="B44" s="14">
        <f t="shared" si="0"/>
        <v>19.607070512953282</v>
      </c>
      <c r="C44" s="14">
        <f t="shared" si="1"/>
        <v>4.171333333333334</v>
      </c>
      <c r="D44" s="14">
        <f t="shared" si="2"/>
        <v>15.435737179619949</v>
      </c>
      <c r="E44" s="14">
        <f t="shared" si="3"/>
        <v>356.7288294904987</v>
      </c>
      <c r="F44" s="14">
        <f t="shared" si="4"/>
        <v>610.26</v>
      </c>
    </row>
    <row r="45" spans="1:6">
      <c r="A45" s="7">
        <f t="shared" si="5"/>
        <v>26</v>
      </c>
      <c r="B45" s="14">
        <f t="shared" si="0"/>
        <v>19.607070512953282</v>
      </c>
      <c r="C45" s="14">
        <f t="shared" si="1"/>
        <v>4.0684000000000005</v>
      </c>
      <c r="D45" s="14">
        <f t="shared" si="2"/>
        <v>15.538670512953281</v>
      </c>
      <c r="E45" s="14">
        <f t="shared" si="3"/>
        <v>372.26750000345197</v>
      </c>
      <c r="F45" s="14">
        <f t="shared" si="4"/>
        <v>594.72</v>
      </c>
    </row>
    <row r="46" spans="1:6">
      <c r="A46" s="7">
        <f t="shared" si="5"/>
        <v>27</v>
      </c>
      <c r="B46" s="14">
        <f t="shared" si="0"/>
        <v>19.607070512953282</v>
      </c>
      <c r="C46" s="14">
        <f t="shared" si="1"/>
        <v>3.9648000000000003</v>
      </c>
      <c r="D46" s="14">
        <f t="shared" si="2"/>
        <v>15.642270512953282</v>
      </c>
      <c r="E46" s="14">
        <f t="shared" si="3"/>
        <v>387.90977051640527</v>
      </c>
      <c r="F46" s="14">
        <f t="shared" si="4"/>
        <v>579.08000000000004</v>
      </c>
    </row>
    <row r="47" spans="1:6">
      <c r="A47" s="7">
        <f t="shared" si="5"/>
        <v>28</v>
      </c>
      <c r="B47" s="14">
        <f t="shared" si="0"/>
        <v>19.607070512953282</v>
      </c>
      <c r="C47" s="14">
        <f t="shared" si="1"/>
        <v>3.860533333333334</v>
      </c>
      <c r="D47" s="14">
        <f t="shared" si="2"/>
        <v>15.746537179619947</v>
      </c>
      <c r="E47" s="14">
        <f t="shared" si="3"/>
        <v>403.65630769602524</v>
      </c>
      <c r="F47" s="14">
        <f t="shared" si="4"/>
        <v>563.33000000000004</v>
      </c>
    </row>
    <row r="48" spans="1:6">
      <c r="A48" s="7">
        <f t="shared" si="5"/>
        <v>29</v>
      </c>
      <c r="B48" s="14">
        <f t="shared" si="0"/>
        <v>19.607070512953282</v>
      </c>
      <c r="C48" s="14">
        <f t="shared" si="1"/>
        <v>3.7555333333333341</v>
      </c>
      <c r="D48" s="14">
        <f t="shared" si="2"/>
        <v>15.851537179619948</v>
      </c>
      <c r="E48" s="14">
        <f t="shared" si="3"/>
        <v>419.50784487564516</v>
      </c>
      <c r="F48" s="14">
        <f t="shared" si="4"/>
        <v>547.48</v>
      </c>
    </row>
    <row r="49" spans="1:6">
      <c r="A49" s="7">
        <f t="shared" si="5"/>
        <v>30</v>
      </c>
      <c r="B49" s="14">
        <f t="shared" si="0"/>
        <v>19.607070512953282</v>
      </c>
      <c r="C49" s="14">
        <f t="shared" si="1"/>
        <v>3.649866666666667</v>
      </c>
      <c r="D49" s="14">
        <f t="shared" si="2"/>
        <v>15.957203846286614</v>
      </c>
      <c r="E49" s="14">
        <f t="shared" si="3"/>
        <v>435.46504872193179</v>
      </c>
      <c r="F49" s="14">
        <f t="shared" si="4"/>
        <v>531.52</v>
      </c>
    </row>
    <row r="50" spans="1:6">
      <c r="A50" s="7">
        <f t="shared" si="5"/>
        <v>31</v>
      </c>
      <c r="B50" s="14">
        <f t="shared" si="0"/>
        <v>19.607070512953282</v>
      </c>
      <c r="C50" s="14">
        <f t="shared" si="1"/>
        <v>3.5434666666666668</v>
      </c>
      <c r="D50" s="14">
        <f t="shared" si="2"/>
        <v>16.063603846286615</v>
      </c>
      <c r="E50" s="14">
        <f t="shared" si="3"/>
        <v>451.52865256821843</v>
      </c>
      <c r="F50" s="14">
        <f t="shared" si="4"/>
        <v>515.46</v>
      </c>
    </row>
    <row r="51" spans="1:6">
      <c r="A51" s="7">
        <f t="shared" si="5"/>
        <v>32</v>
      </c>
      <c r="B51" s="14">
        <f t="shared" si="0"/>
        <v>19.607070512953282</v>
      </c>
      <c r="C51" s="14">
        <f t="shared" si="1"/>
        <v>3.4364000000000003</v>
      </c>
      <c r="D51" s="14">
        <f t="shared" si="2"/>
        <v>16.170670512953283</v>
      </c>
      <c r="E51" s="14">
        <f t="shared" si="3"/>
        <v>467.69932308117171</v>
      </c>
      <c r="F51" s="14">
        <f t="shared" si="4"/>
        <v>499.29</v>
      </c>
    </row>
    <row r="52" spans="1:6">
      <c r="A52" s="7">
        <f t="shared" si="5"/>
        <v>33</v>
      </c>
      <c r="B52" s="14">
        <f t="shared" si="0"/>
        <v>19.607070512953282</v>
      </c>
      <c r="C52" s="14">
        <f t="shared" si="1"/>
        <v>3.3286000000000002</v>
      </c>
      <c r="D52" s="14">
        <f t="shared" si="2"/>
        <v>16.27847051295328</v>
      </c>
      <c r="E52" s="14">
        <f t="shared" si="3"/>
        <v>483.97779359412499</v>
      </c>
      <c r="F52" s="14">
        <f t="shared" si="4"/>
        <v>483.01</v>
      </c>
    </row>
    <row r="53" spans="1:6">
      <c r="A53" s="7">
        <f t="shared" si="5"/>
        <v>34</v>
      </c>
      <c r="B53" s="14">
        <f t="shared" si="0"/>
        <v>19.607070512953282</v>
      </c>
      <c r="C53" s="14">
        <f t="shared" si="1"/>
        <v>3.2200666666666669</v>
      </c>
      <c r="D53" s="14">
        <f t="shared" si="2"/>
        <v>16.387003846286614</v>
      </c>
      <c r="E53" s="14">
        <f t="shared" si="3"/>
        <v>500.36479744041162</v>
      </c>
      <c r="F53" s="14">
        <f t="shared" si="4"/>
        <v>466.63</v>
      </c>
    </row>
    <row r="54" spans="1:6">
      <c r="A54" s="7">
        <f t="shared" si="5"/>
        <v>35</v>
      </c>
      <c r="B54" s="14">
        <f t="shared" si="0"/>
        <v>19.607070512953282</v>
      </c>
      <c r="C54" s="14">
        <f t="shared" si="1"/>
        <v>3.1108666666666669</v>
      </c>
      <c r="D54" s="14">
        <f t="shared" si="2"/>
        <v>16.496203846286615</v>
      </c>
      <c r="E54" s="14">
        <f t="shared" si="3"/>
        <v>516.86100128669818</v>
      </c>
      <c r="F54" s="14">
        <f t="shared" si="4"/>
        <v>450.13</v>
      </c>
    </row>
    <row r="55" spans="1:6">
      <c r="A55" s="7">
        <f t="shared" si="5"/>
        <v>36</v>
      </c>
      <c r="B55" s="14">
        <f t="shared" si="0"/>
        <v>19.607070512953282</v>
      </c>
      <c r="C55" s="14">
        <f t="shared" si="1"/>
        <v>3.000866666666667</v>
      </c>
      <c r="D55" s="14">
        <f t="shared" si="2"/>
        <v>16.606203846286615</v>
      </c>
      <c r="E55" s="14">
        <f t="shared" si="3"/>
        <v>533.46720513298476</v>
      </c>
      <c r="F55" s="14">
        <f t="shared" si="4"/>
        <v>433.52</v>
      </c>
    </row>
    <row r="56" spans="1:6">
      <c r="A56" s="7">
        <f t="shared" si="5"/>
        <v>37</v>
      </c>
      <c r="B56" s="14">
        <f t="shared" si="0"/>
        <v>19.607070512953282</v>
      </c>
      <c r="C56" s="14">
        <f t="shared" si="1"/>
        <v>2.8901333333333334</v>
      </c>
      <c r="D56" s="14">
        <f t="shared" si="2"/>
        <v>16.716937179619947</v>
      </c>
      <c r="E56" s="14">
        <f t="shared" si="3"/>
        <v>550.18414231260476</v>
      </c>
      <c r="F56" s="14">
        <f t="shared" si="4"/>
        <v>416.81</v>
      </c>
    </row>
    <row r="57" spans="1:6">
      <c r="A57" s="7">
        <f t="shared" si="5"/>
        <v>38</v>
      </c>
      <c r="B57" s="14">
        <f t="shared" si="0"/>
        <v>19.607070512953282</v>
      </c>
      <c r="C57" s="14">
        <f t="shared" si="1"/>
        <v>2.7787333333333337</v>
      </c>
      <c r="D57" s="14">
        <f t="shared" si="2"/>
        <v>16.828337179619947</v>
      </c>
      <c r="E57" s="14">
        <f t="shared" si="3"/>
        <v>567.01247949222466</v>
      </c>
      <c r="F57" s="14">
        <f t="shared" si="4"/>
        <v>399.98</v>
      </c>
    </row>
    <row r="58" spans="1:6">
      <c r="A58" s="7">
        <f t="shared" si="5"/>
        <v>39</v>
      </c>
      <c r="B58" s="14">
        <f t="shared" si="0"/>
        <v>19.607070512953282</v>
      </c>
      <c r="C58" s="14">
        <f t="shared" si="1"/>
        <v>2.6665333333333336</v>
      </c>
      <c r="D58" s="14">
        <f t="shared" si="2"/>
        <v>16.940537179619948</v>
      </c>
      <c r="E58" s="14">
        <f t="shared" si="3"/>
        <v>583.95301667184458</v>
      </c>
      <c r="F58" s="14">
        <f t="shared" si="4"/>
        <v>383.04</v>
      </c>
    </row>
    <row r="59" spans="1:6">
      <c r="A59" s="7">
        <f t="shared" si="5"/>
        <v>40</v>
      </c>
      <c r="B59" s="14">
        <f t="shared" si="0"/>
        <v>19.607070512953282</v>
      </c>
      <c r="C59" s="14">
        <f t="shared" si="1"/>
        <v>2.5536000000000003</v>
      </c>
      <c r="D59" s="14">
        <f t="shared" si="2"/>
        <v>17.053470512953282</v>
      </c>
      <c r="E59" s="14">
        <f t="shared" si="3"/>
        <v>601.00648718479783</v>
      </c>
      <c r="F59" s="14">
        <f t="shared" si="4"/>
        <v>365.98</v>
      </c>
    </row>
    <row r="60" spans="1:6">
      <c r="A60" s="7">
        <f t="shared" si="5"/>
        <v>41</v>
      </c>
      <c r="B60" s="14">
        <f t="shared" si="0"/>
        <v>19.607070512953282</v>
      </c>
      <c r="C60" s="14">
        <f t="shared" si="1"/>
        <v>2.4398666666666671</v>
      </c>
      <c r="D60" s="14">
        <f t="shared" si="2"/>
        <v>17.167203846286615</v>
      </c>
      <c r="E60" s="14">
        <f t="shared" si="3"/>
        <v>618.17369103108445</v>
      </c>
      <c r="F60" s="14">
        <f t="shared" si="4"/>
        <v>348.82</v>
      </c>
    </row>
    <row r="61" spans="1:6">
      <c r="A61" s="7">
        <f t="shared" si="5"/>
        <v>42</v>
      </c>
      <c r="B61" s="14">
        <f t="shared" si="0"/>
        <v>19.607070512953282</v>
      </c>
      <c r="C61" s="14">
        <f t="shared" si="1"/>
        <v>2.3254666666666668</v>
      </c>
      <c r="D61" s="14">
        <f t="shared" si="2"/>
        <v>17.281603846286615</v>
      </c>
      <c r="E61" s="14">
        <f t="shared" si="3"/>
        <v>635.4552948773711</v>
      </c>
      <c r="F61" s="14">
        <f t="shared" si="4"/>
        <v>331.53</v>
      </c>
    </row>
    <row r="62" spans="1:6">
      <c r="A62" s="7">
        <f t="shared" si="5"/>
        <v>43</v>
      </c>
      <c r="B62" s="14">
        <f t="shared" si="0"/>
        <v>19.607070512953282</v>
      </c>
      <c r="C62" s="14">
        <f t="shared" si="1"/>
        <v>2.2101999999999999</v>
      </c>
      <c r="D62" s="14">
        <f t="shared" si="2"/>
        <v>17.396870512953281</v>
      </c>
      <c r="E62" s="14">
        <f t="shared" si="3"/>
        <v>652.85216539032433</v>
      </c>
      <c r="F62" s="14">
        <f t="shared" si="4"/>
        <v>314.14</v>
      </c>
    </row>
    <row r="63" spans="1:6">
      <c r="A63" s="7">
        <f t="shared" si="5"/>
        <v>44</v>
      </c>
      <c r="B63" s="14">
        <f t="shared" si="0"/>
        <v>19.607070512953282</v>
      </c>
      <c r="C63" s="14">
        <f t="shared" si="1"/>
        <v>2.0942666666666665</v>
      </c>
      <c r="D63" s="14">
        <f t="shared" si="2"/>
        <v>17.512803846286616</v>
      </c>
      <c r="E63" s="14">
        <f t="shared" si="3"/>
        <v>670.36496923661093</v>
      </c>
      <c r="F63" s="14">
        <f t="shared" si="4"/>
        <v>296.63</v>
      </c>
    </row>
    <row r="64" spans="1:6">
      <c r="A64" s="7">
        <f t="shared" si="5"/>
        <v>45</v>
      </c>
      <c r="B64" s="14">
        <f t="shared" si="0"/>
        <v>19.607070512953282</v>
      </c>
      <c r="C64" s="14">
        <f t="shared" si="1"/>
        <v>1.9775333333333334</v>
      </c>
      <c r="D64" s="14">
        <f t="shared" si="2"/>
        <v>17.629537179619948</v>
      </c>
      <c r="E64" s="14">
        <f t="shared" si="3"/>
        <v>687.99450641623093</v>
      </c>
      <c r="F64" s="14">
        <f t="shared" si="4"/>
        <v>279</v>
      </c>
    </row>
    <row r="65" spans="1:6">
      <c r="A65" s="7">
        <f t="shared" si="5"/>
        <v>46</v>
      </c>
      <c r="B65" s="14">
        <f t="shared" si="0"/>
        <v>19.607070512953282</v>
      </c>
      <c r="C65" s="14">
        <f t="shared" si="1"/>
        <v>1.86</v>
      </c>
      <c r="D65" s="14">
        <f t="shared" si="2"/>
        <v>17.747070512953282</v>
      </c>
      <c r="E65" s="14">
        <f t="shared" si="3"/>
        <v>705.74157692918425</v>
      </c>
      <c r="F65" s="14">
        <f t="shared" si="4"/>
        <v>261.25</v>
      </c>
    </row>
    <row r="66" spans="1:6">
      <c r="A66" s="7">
        <f t="shared" si="5"/>
        <v>47</v>
      </c>
      <c r="B66" s="14">
        <f t="shared" si="0"/>
        <v>19.607070512953282</v>
      </c>
      <c r="C66" s="14">
        <f t="shared" si="1"/>
        <v>1.7416666666666667</v>
      </c>
      <c r="D66" s="14">
        <f t="shared" si="2"/>
        <v>17.865403846286615</v>
      </c>
      <c r="E66" s="14">
        <f t="shared" si="3"/>
        <v>723.6069807754709</v>
      </c>
      <c r="F66" s="14">
        <f t="shared" si="4"/>
        <v>243.38</v>
      </c>
    </row>
    <row r="67" spans="1:6">
      <c r="A67" s="7">
        <f t="shared" si="5"/>
        <v>48</v>
      </c>
      <c r="B67" s="14">
        <f t="shared" si="0"/>
        <v>19.607070512953282</v>
      </c>
      <c r="C67" s="14">
        <f t="shared" si="1"/>
        <v>1.6225333333333334</v>
      </c>
      <c r="D67" s="14">
        <f t="shared" si="2"/>
        <v>17.984537179619949</v>
      </c>
      <c r="E67" s="14">
        <f t="shared" si="3"/>
        <v>741.59151795509081</v>
      </c>
      <c r="F67" s="14">
        <f t="shared" si="4"/>
        <v>225.4</v>
      </c>
    </row>
    <row r="68" spans="1:6">
      <c r="A68" s="7">
        <f t="shared" si="5"/>
        <v>49</v>
      </c>
      <c r="B68" s="14">
        <f t="shared" si="0"/>
        <v>19.607070512953282</v>
      </c>
      <c r="C68" s="14">
        <f t="shared" si="1"/>
        <v>1.5026666666666668</v>
      </c>
      <c r="D68" s="14">
        <f t="shared" si="2"/>
        <v>18.104403846286615</v>
      </c>
      <c r="E68" s="14">
        <f t="shared" si="3"/>
        <v>759.69592180137738</v>
      </c>
      <c r="F68" s="14">
        <f t="shared" si="4"/>
        <v>207.29</v>
      </c>
    </row>
    <row r="69" spans="1:6">
      <c r="A69" s="7">
        <f t="shared" si="5"/>
        <v>50</v>
      </c>
      <c r="B69" s="14">
        <f t="shared" si="0"/>
        <v>19.607070512953282</v>
      </c>
      <c r="C69" s="14">
        <f t="shared" si="1"/>
        <v>1.3819333333333335</v>
      </c>
      <c r="D69" s="14">
        <f t="shared" si="2"/>
        <v>18.225137179619949</v>
      </c>
      <c r="E69" s="14">
        <f t="shared" si="3"/>
        <v>777.92105898099737</v>
      </c>
      <c r="F69" s="14">
        <f t="shared" si="4"/>
        <v>189.07</v>
      </c>
    </row>
    <row r="70" spans="1:6">
      <c r="A70" s="7">
        <f t="shared" si="5"/>
        <v>51</v>
      </c>
      <c r="B70" s="14">
        <f t="shared" si="0"/>
        <v>19.607070512953282</v>
      </c>
      <c r="C70" s="14">
        <f t="shared" si="1"/>
        <v>1.2604666666666666</v>
      </c>
      <c r="D70" s="14">
        <f t="shared" si="2"/>
        <v>18.346603846286616</v>
      </c>
      <c r="E70" s="14">
        <f t="shared" si="3"/>
        <v>796.26766282728397</v>
      </c>
      <c r="F70" s="14">
        <f t="shared" si="4"/>
        <v>170.72</v>
      </c>
    </row>
    <row r="71" spans="1:6">
      <c r="A71" s="7">
        <f t="shared" si="5"/>
        <v>52</v>
      </c>
      <c r="B71" s="14">
        <f t="shared" si="0"/>
        <v>19.607070512953282</v>
      </c>
      <c r="C71" s="14">
        <f t="shared" si="1"/>
        <v>1.1381333333333334</v>
      </c>
      <c r="D71" s="14">
        <f t="shared" si="2"/>
        <v>18.46893717961995</v>
      </c>
      <c r="E71" s="14">
        <f t="shared" si="3"/>
        <v>814.73660000690393</v>
      </c>
      <c r="F71" s="14">
        <f t="shared" si="4"/>
        <v>152.25</v>
      </c>
    </row>
    <row r="72" spans="1:6">
      <c r="A72" s="7">
        <f t="shared" si="5"/>
        <v>53</v>
      </c>
      <c r="B72" s="14">
        <f t="shared" si="0"/>
        <v>19.607070512953282</v>
      </c>
      <c r="C72" s="14">
        <f t="shared" si="1"/>
        <v>1.0150000000000001</v>
      </c>
      <c r="D72" s="14">
        <f t="shared" si="2"/>
        <v>18.592070512953281</v>
      </c>
      <c r="E72" s="14">
        <f t="shared" si="3"/>
        <v>833.32867051985716</v>
      </c>
      <c r="F72" s="14">
        <f t="shared" si="4"/>
        <v>133.66</v>
      </c>
    </row>
    <row r="73" spans="1:6">
      <c r="A73" s="7">
        <f t="shared" si="5"/>
        <v>54</v>
      </c>
      <c r="B73" s="14">
        <f t="shared" si="0"/>
        <v>19.607070512953282</v>
      </c>
      <c r="C73" s="14">
        <f t="shared" si="1"/>
        <v>0.89106666666666667</v>
      </c>
      <c r="D73" s="14">
        <f t="shared" si="2"/>
        <v>18.716003846286615</v>
      </c>
      <c r="E73" s="14">
        <f t="shared" si="3"/>
        <v>852.04467436614379</v>
      </c>
      <c r="F73" s="14">
        <f t="shared" si="4"/>
        <v>114.95</v>
      </c>
    </row>
    <row r="74" spans="1:6">
      <c r="A74" s="7">
        <f t="shared" si="5"/>
        <v>55</v>
      </c>
      <c r="B74" s="14">
        <f t="shared" si="0"/>
        <v>19.607070512953282</v>
      </c>
      <c r="C74" s="14">
        <f t="shared" si="1"/>
        <v>0.76633333333333342</v>
      </c>
      <c r="D74" s="14">
        <f t="shared" si="2"/>
        <v>18.84073717961995</v>
      </c>
      <c r="E74" s="14">
        <f t="shared" si="3"/>
        <v>870.88541154576376</v>
      </c>
      <c r="F74" s="14">
        <f t="shared" si="4"/>
        <v>96.1</v>
      </c>
    </row>
    <row r="75" spans="1:6">
      <c r="A75" s="7">
        <f t="shared" si="5"/>
        <v>56</v>
      </c>
      <c r="B75" s="14">
        <f t="shared" si="0"/>
        <v>19.607070512953282</v>
      </c>
      <c r="C75" s="14">
        <f t="shared" si="1"/>
        <v>0.64066666666666672</v>
      </c>
      <c r="D75" s="14">
        <f t="shared" si="2"/>
        <v>18.966403846286614</v>
      </c>
      <c r="E75" s="14">
        <f t="shared" si="3"/>
        <v>889.85181539205041</v>
      </c>
      <c r="F75" s="14">
        <f t="shared" si="4"/>
        <v>77.14</v>
      </c>
    </row>
    <row r="76" spans="1:6">
      <c r="A76" s="7">
        <f t="shared" si="5"/>
        <v>57</v>
      </c>
      <c r="B76" s="14">
        <f t="shared" si="0"/>
        <v>19.607070512953282</v>
      </c>
      <c r="C76" s="14">
        <f t="shared" si="1"/>
        <v>0.51426666666666665</v>
      </c>
      <c r="D76" s="14">
        <f t="shared" si="2"/>
        <v>19.092803846286614</v>
      </c>
      <c r="E76" s="14">
        <f t="shared" si="3"/>
        <v>908.94461923833705</v>
      </c>
      <c r="F76" s="14">
        <f t="shared" si="4"/>
        <v>58.05</v>
      </c>
    </row>
    <row r="77" spans="1:6">
      <c r="A77" s="7">
        <f t="shared" si="5"/>
        <v>58</v>
      </c>
      <c r="B77" s="14">
        <f t="shared" si="0"/>
        <v>19.607070512953282</v>
      </c>
      <c r="C77" s="14">
        <f t="shared" si="1"/>
        <v>0.38700000000000001</v>
      </c>
      <c r="D77" s="14">
        <f t="shared" si="2"/>
        <v>19.220070512953281</v>
      </c>
      <c r="E77" s="14">
        <f t="shared" si="3"/>
        <v>928.16468975129033</v>
      </c>
      <c r="F77" s="14">
        <f t="shared" si="4"/>
        <v>38.83</v>
      </c>
    </row>
    <row r="78" spans="1:6">
      <c r="A78" s="7">
        <f t="shared" si="5"/>
        <v>59</v>
      </c>
      <c r="B78" s="14">
        <f t="shared" si="0"/>
        <v>19.607070512953282</v>
      </c>
      <c r="C78" s="14">
        <f t="shared" si="1"/>
        <v>0.25886666666666669</v>
      </c>
      <c r="D78" s="14">
        <f t="shared" si="2"/>
        <v>19.348203846286616</v>
      </c>
      <c r="E78" s="14">
        <f t="shared" si="3"/>
        <v>947.51289359757698</v>
      </c>
      <c r="F78" s="14">
        <f t="shared" si="4"/>
        <v>19.48</v>
      </c>
    </row>
    <row r="79" spans="1:6">
      <c r="A79" s="7">
        <f t="shared" si="5"/>
        <v>60</v>
      </c>
      <c r="B79" s="14">
        <f t="shared" si="0"/>
        <v>19.607070512953282</v>
      </c>
      <c r="C79" s="14">
        <f t="shared" si="1"/>
        <v>0.12986666666666669</v>
      </c>
      <c r="D79" s="14">
        <f t="shared" si="2"/>
        <v>19.477203846286613</v>
      </c>
      <c r="E79" s="14">
        <f t="shared" si="3"/>
        <v>966.99009744386353</v>
      </c>
      <c r="F79" s="14">
        <f t="shared" si="4"/>
        <v>0</v>
      </c>
    </row>
    <row r="80" spans="1:6">
      <c r="A80" s="7" t="str">
        <f t="shared" si="5"/>
        <v/>
      </c>
      <c r="B80" s="14" t="str">
        <f t="shared" si="0"/>
        <v/>
      </c>
      <c r="C80" s="14" t="str">
        <f t="shared" si="1"/>
        <v/>
      </c>
      <c r="D80" s="14" t="str">
        <f t="shared" si="2"/>
        <v/>
      </c>
      <c r="E80" s="14" t="str">
        <f t="shared" si="3"/>
        <v/>
      </c>
      <c r="F80" s="14" t="str">
        <f t="shared" si="4"/>
        <v/>
      </c>
    </row>
    <row r="81" spans="1:6">
      <c r="A81" s="7" t="str">
        <f t="shared" si="5"/>
        <v/>
      </c>
      <c r="B81" s="14" t="str">
        <f t="shared" si="0"/>
        <v/>
      </c>
      <c r="C81" s="14" t="str">
        <f t="shared" si="1"/>
        <v/>
      </c>
      <c r="D81" s="14" t="str">
        <f t="shared" si="2"/>
        <v/>
      </c>
      <c r="E81" s="14" t="str">
        <f t="shared" si="3"/>
        <v/>
      </c>
      <c r="F81" s="14" t="str">
        <f t="shared" si="4"/>
        <v/>
      </c>
    </row>
    <row r="82" spans="1:6">
      <c r="A82" s="7" t="str">
        <f t="shared" si="5"/>
        <v/>
      </c>
      <c r="B82" s="14" t="str">
        <f t="shared" si="0"/>
        <v/>
      </c>
      <c r="C82" s="14" t="str">
        <f t="shared" si="1"/>
        <v/>
      </c>
      <c r="D82" s="14" t="str">
        <f t="shared" si="2"/>
        <v/>
      </c>
      <c r="E82" s="14" t="str">
        <f t="shared" si="3"/>
        <v/>
      </c>
      <c r="F82" s="14" t="str">
        <f t="shared" si="4"/>
        <v/>
      </c>
    </row>
    <row r="83" spans="1:6">
      <c r="A83" s="7" t="str">
        <f t="shared" si="5"/>
        <v/>
      </c>
      <c r="B83" s="14" t="str">
        <f t="shared" si="0"/>
        <v/>
      </c>
      <c r="C83" s="14" t="str">
        <f t="shared" si="1"/>
        <v/>
      </c>
      <c r="D83" s="14" t="str">
        <f t="shared" si="2"/>
        <v/>
      </c>
      <c r="E83" s="14" t="str">
        <f t="shared" si="3"/>
        <v/>
      </c>
      <c r="F83" s="14" t="str">
        <f t="shared" si="4"/>
        <v/>
      </c>
    </row>
    <row r="84" spans="1:6">
      <c r="A84" s="7" t="str">
        <f t="shared" si="5"/>
        <v/>
      </c>
      <c r="B84" s="14" t="str">
        <f t="shared" ref="B84:B147" si="6">IF(A84&lt;=$E$9,C84+D84,"")</f>
        <v/>
      </c>
      <c r="C84" s="14" t="str">
        <f t="shared" ref="C84:C147" si="7">IF(A84&lt;=$E$9,F83*($E$8/$E$10),"")</f>
        <v/>
      </c>
      <c r="D84" s="14" t="str">
        <f t="shared" ref="D84:D147" si="8">IF(A84&lt;=$E$9,$E$13-C84,"")</f>
        <v/>
      </c>
      <c r="E84" s="14" t="str">
        <f t="shared" ref="E84:E147" si="9">IF(A84&lt;=$E$9,E83+D84,"")</f>
        <v/>
      </c>
      <c r="F84" s="14" t="str">
        <f t="shared" ref="F84:F147" si="10">IF(A84&lt;=$E$9,ROUND(($F$19-E84),2),"")</f>
        <v/>
      </c>
    </row>
    <row r="85" spans="1:6">
      <c r="A85" s="7" t="str">
        <f t="shared" ref="A85:A148" si="11">IF(A84&lt;$E$9,A84+1,"")</f>
        <v/>
      </c>
      <c r="B85" s="14" t="str">
        <f t="shared" si="6"/>
        <v/>
      </c>
      <c r="C85" s="14" t="str">
        <f t="shared" si="7"/>
        <v/>
      </c>
      <c r="D85" s="14" t="str">
        <f t="shared" si="8"/>
        <v/>
      </c>
      <c r="E85" s="14" t="str">
        <f t="shared" si="9"/>
        <v/>
      </c>
      <c r="F85" s="14" t="str">
        <f t="shared" si="10"/>
        <v/>
      </c>
    </row>
    <row r="86" spans="1:6">
      <c r="A86" s="7" t="str">
        <f t="shared" si="11"/>
        <v/>
      </c>
      <c r="B86" s="14" t="str">
        <f t="shared" si="6"/>
        <v/>
      </c>
      <c r="C86" s="14" t="str">
        <f t="shared" si="7"/>
        <v/>
      </c>
      <c r="D86" s="14" t="str">
        <f t="shared" si="8"/>
        <v/>
      </c>
      <c r="E86" s="14" t="str">
        <f t="shared" si="9"/>
        <v/>
      </c>
      <c r="F86" s="14" t="str">
        <f t="shared" si="10"/>
        <v/>
      </c>
    </row>
    <row r="87" spans="1:6">
      <c r="A87" s="7" t="str">
        <f t="shared" si="11"/>
        <v/>
      </c>
      <c r="B87" s="14" t="str">
        <f t="shared" si="6"/>
        <v/>
      </c>
      <c r="C87" s="14" t="str">
        <f t="shared" si="7"/>
        <v/>
      </c>
      <c r="D87" s="14" t="str">
        <f t="shared" si="8"/>
        <v/>
      </c>
      <c r="E87" s="14" t="str">
        <f t="shared" si="9"/>
        <v/>
      </c>
      <c r="F87" s="14" t="str">
        <f t="shared" si="10"/>
        <v/>
      </c>
    </row>
    <row r="88" spans="1:6">
      <c r="A88" s="7" t="str">
        <f t="shared" si="11"/>
        <v/>
      </c>
      <c r="B88" s="14" t="str">
        <f t="shared" si="6"/>
        <v/>
      </c>
      <c r="C88" s="14" t="str">
        <f t="shared" si="7"/>
        <v/>
      </c>
      <c r="D88" s="14" t="str">
        <f t="shared" si="8"/>
        <v/>
      </c>
      <c r="E88" s="14" t="str">
        <f t="shared" si="9"/>
        <v/>
      </c>
      <c r="F88" s="14" t="str">
        <f t="shared" si="10"/>
        <v/>
      </c>
    </row>
    <row r="89" spans="1:6">
      <c r="A89" s="7" t="str">
        <f t="shared" si="11"/>
        <v/>
      </c>
      <c r="B89" s="14" t="str">
        <f t="shared" si="6"/>
        <v/>
      </c>
      <c r="C89" s="14" t="str">
        <f t="shared" si="7"/>
        <v/>
      </c>
      <c r="D89" s="14" t="str">
        <f t="shared" si="8"/>
        <v/>
      </c>
      <c r="E89" s="14" t="str">
        <f t="shared" si="9"/>
        <v/>
      </c>
      <c r="F89" s="14" t="str">
        <f t="shared" si="10"/>
        <v/>
      </c>
    </row>
    <row r="90" spans="1:6">
      <c r="A90" s="7" t="str">
        <f t="shared" si="11"/>
        <v/>
      </c>
      <c r="B90" s="14" t="str">
        <f t="shared" si="6"/>
        <v/>
      </c>
      <c r="C90" s="14" t="str">
        <f t="shared" si="7"/>
        <v/>
      </c>
      <c r="D90" s="14" t="str">
        <f t="shared" si="8"/>
        <v/>
      </c>
      <c r="E90" s="14" t="str">
        <f t="shared" si="9"/>
        <v/>
      </c>
      <c r="F90" s="14" t="str">
        <f t="shared" si="10"/>
        <v/>
      </c>
    </row>
    <row r="91" spans="1:6">
      <c r="A91" s="7" t="str">
        <f t="shared" si="11"/>
        <v/>
      </c>
      <c r="B91" s="14" t="str">
        <f t="shared" si="6"/>
        <v/>
      </c>
      <c r="C91" s="14" t="str">
        <f t="shared" si="7"/>
        <v/>
      </c>
      <c r="D91" s="14" t="str">
        <f t="shared" si="8"/>
        <v/>
      </c>
      <c r="E91" s="14" t="str">
        <f t="shared" si="9"/>
        <v/>
      </c>
      <c r="F91" s="14" t="str">
        <f t="shared" si="10"/>
        <v/>
      </c>
    </row>
    <row r="92" spans="1:6">
      <c r="A92" s="7" t="str">
        <f t="shared" si="11"/>
        <v/>
      </c>
      <c r="B92" s="14" t="str">
        <f t="shared" si="6"/>
        <v/>
      </c>
      <c r="C92" s="14" t="str">
        <f t="shared" si="7"/>
        <v/>
      </c>
      <c r="D92" s="14" t="str">
        <f t="shared" si="8"/>
        <v/>
      </c>
      <c r="E92" s="14" t="str">
        <f t="shared" si="9"/>
        <v/>
      </c>
      <c r="F92" s="14" t="str">
        <f t="shared" si="10"/>
        <v/>
      </c>
    </row>
    <row r="93" spans="1:6">
      <c r="A93" s="7" t="str">
        <f t="shared" si="11"/>
        <v/>
      </c>
      <c r="B93" s="14" t="str">
        <f t="shared" si="6"/>
        <v/>
      </c>
      <c r="C93" s="14" t="str">
        <f t="shared" si="7"/>
        <v/>
      </c>
      <c r="D93" s="14" t="str">
        <f t="shared" si="8"/>
        <v/>
      </c>
      <c r="E93" s="14" t="str">
        <f t="shared" si="9"/>
        <v/>
      </c>
      <c r="F93" s="14" t="str">
        <f t="shared" si="10"/>
        <v/>
      </c>
    </row>
    <row r="94" spans="1:6">
      <c r="A94" s="7" t="str">
        <f t="shared" si="11"/>
        <v/>
      </c>
      <c r="B94" s="14" t="str">
        <f t="shared" si="6"/>
        <v/>
      </c>
      <c r="C94" s="14" t="str">
        <f t="shared" si="7"/>
        <v/>
      </c>
      <c r="D94" s="14" t="str">
        <f t="shared" si="8"/>
        <v/>
      </c>
      <c r="E94" s="14" t="str">
        <f t="shared" si="9"/>
        <v/>
      </c>
      <c r="F94" s="14" t="str">
        <f t="shared" si="10"/>
        <v/>
      </c>
    </row>
    <row r="95" spans="1:6">
      <c r="A95" s="7" t="str">
        <f t="shared" si="11"/>
        <v/>
      </c>
      <c r="B95" s="14" t="str">
        <f t="shared" si="6"/>
        <v/>
      </c>
      <c r="C95" s="14" t="str">
        <f t="shared" si="7"/>
        <v/>
      </c>
      <c r="D95" s="14" t="str">
        <f t="shared" si="8"/>
        <v/>
      </c>
      <c r="E95" s="14" t="str">
        <f t="shared" si="9"/>
        <v/>
      </c>
      <c r="F95" s="14" t="str">
        <f t="shared" si="10"/>
        <v/>
      </c>
    </row>
    <row r="96" spans="1:6">
      <c r="A96" s="7" t="str">
        <f t="shared" si="11"/>
        <v/>
      </c>
      <c r="B96" s="14" t="str">
        <f t="shared" si="6"/>
        <v/>
      </c>
      <c r="C96" s="14" t="str">
        <f t="shared" si="7"/>
        <v/>
      </c>
      <c r="D96" s="14" t="str">
        <f t="shared" si="8"/>
        <v/>
      </c>
      <c r="E96" s="14" t="str">
        <f t="shared" si="9"/>
        <v/>
      </c>
      <c r="F96" s="14" t="str">
        <f t="shared" si="10"/>
        <v/>
      </c>
    </row>
    <row r="97" spans="1:6">
      <c r="A97" s="7" t="str">
        <f t="shared" si="11"/>
        <v/>
      </c>
      <c r="B97" s="14" t="str">
        <f t="shared" si="6"/>
        <v/>
      </c>
      <c r="C97" s="14" t="str">
        <f t="shared" si="7"/>
        <v/>
      </c>
      <c r="D97" s="14" t="str">
        <f t="shared" si="8"/>
        <v/>
      </c>
      <c r="E97" s="14" t="str">
        <f t="shared" si="9"/>
        <v/>
      </c>
      <c r="F97" s="14" t="str">
        <f t="shared" si="10"/>
        <v/>
      </c>
    </row>
    <row r="98" spans="1:6">
      <c r="A98" s="7" t="str">
        <f t="shared" si="11"/>
        <v/>
      </c>
      <c r="B98" s="14" t="str">
        <f t="shared" si="6"/>
        <v/>
      </c>
      <c r="C98" s="14" t="str">
        <f t="shared" si="7"/>
        <v/>
      </c>
      <c r="D98" s="14" t="str">
        <f t="shared" si="8"/>
        <v/>
      </c>
      <c r="E98" s="14" t="str">
        <f t="shared" si="9"/>
        <v/>
      </c>
      <c r="F98" s="14" t="str">
        <f t="shared" si="10"/>
        <v/>
      </c>
    </row>
    <row r="99" spans="1:6">
      <c r="A99" s="7" t="str">
        <f t="shared" si="11"/>
        <v/>
      </c>
      <c r="B99" s="14" t="str">
        <f t="shared" si="6"/>
        <v/>
      </c>
      <c r="C99" s="14" t="str">
        <f t="shared" si="7"/>
        <v/>
      </c>
      <c r="D99" s="14" t="str">
        <f t="shared" si="8"/>
        <v/>
      </c>
      <c r="E99" s="14" t="str">
        <f t="shared" si="9"/>
        <v/>
      </c>
      <c r="F99" s="14" t="str">
        <f t="shared" si="10"/>
        <v/>
      </c>
    </row>
    <row r="100" spans="1:6">
      <c r="A100" s="7" t="str">
        <f t="shared" si="11"/>
        <v/>
      </c>
      <c r="B100" s="14" t="str">
        <f t="shared" si="6"/>
        <v/>
      </c>
      <c r="C100" s="14" t="str">
        <f t="shared" si="7"/>
        <v/>
      </c>
      <c r="D100" s="14" t="str">
        <f t="shared" si="8"/>
        <v/>
      </c>
      <c r="E100" s="14" t="str">
        <f t="shared" si="9"/>
        <v/>
      </c>
      <c r="F100" s="14" t="str">
        <f t="shared" si="10"/>
        <v/>
      </c>
    </row>
    <row r="101" spans="1:6">
      <c r="A101" s="7" t="str">
        <f t="shared" si="11"/>
        <v/>
      </c>
      <c r="B101" s="14" t="str">
        <f t="shared" si="6"/>
        <v/>
      </c>
      <c r="C101" s="14" t="str">
        <f t="shared" si="7"/>
        <v/>
      </c>
      <c r="D101" s="14" t="str">
        <f t="shared" si="8"/>
        <v/>
      </c>
      <c r="E101" s="14" t="str">
        <f t="shared" si="9"/>
        <v/>
      </c>
      <c r="F101" s="14" t="str">
        <f t="shared" si="10"/>
        <v/>
      </c>
    </row>
    <row r="102" spans="1:6">
      <c r="A102" s="7" t="str">
        <f t="shared" si="11"/>
        <v/>
      </c>
      <c r="B102" s="14" t="str">
        <f t="shared" si="6"/>
        <v/>
      </c>
      <c r="C102" s="14" t="str">
        <f t="shared" si="7"/>
        <v/>
      </c>
      <c r="D102" s="14" t="str">
        <f t="shared" si="8"/>
        <v/>
      </c>
      <c r="E102" s="14" t="str">
        <f t="shared" si="9"/>
        <v/>
      </c>
      <c r="F102" s="14" t="str">
        <f t="shared" si="10"/>
        <v/>
      </c>
    </row>
    <row r="103" spans="1:6">
      <c r="A103" s="7" t="str">
        <f t="shared" si="11"/>
        <v/>
      </c>
      <c r="B103" s="14" t="str">
        <f t="shared" si="6"/>
        <v/>
      </c>
      <c r="C103" s="14" t="str">
        <f t="shared" si="7"/>
        <v/>
      </c>
      <c r="D103" s="14" t="str">
        <f t="shared" si="8"/>
        <v/>
      </c>
      <c r="E103" s="14" t="str">
        <f t="shared" si="9"/>
        <v/>
      </c>
      <c r="F103" s="14" t="str">
        <f t="shared" si="10"/>
        <v/>
      </c>
    </row>
    <row r="104" spans="1:6">
      <c r="A104" s="7" t="str">
        <f t="shared" si="11"/>
        <v/>
      </c>
      <c r="B104" s="14" t="str">
        <f t="shared" si="6"/>
        <v/>
      </c>
      <c r="C104" s="14" t="str">
        <f t="shared" si="7"/>
        <v/>
      </c>
      <c r="D104" s="14" t="str">
        <f t="shared" si="8"/>
        <v/>
      </c>
      <c r="E104" s="14" t="str">
        <f t="shared" si="9"/>
        <v/>
      </c>
      <c r="F104" s="14" t="str">
        <f t="shared" si="10"/>
        <v/>
      </c>
    </row>
    <row r="105" spans="1:6">
      <c r="A105" s="7" t="str">
        <f t="shared" si="11"/>
        <v/>
      </c>
      <c r="B105" s="14" t="str">
        <f t="shared" si="6"/>
        <v/>
      </c>
      <c r="C105" s="14" t="str">
        <f t="shared" si="7"/>
        <v/>
      </c>
      <c r="D105" s="14" t="str">
        <f t="shared" si="8"/>
        <v/>
      </c>
      <c r="E105" s="14" t="str">
        <f t="shared" si="9"/>
        <v/>
      </c>
      <c r="F105" s="14" t="str">
        <f t="shared" si="10"/>
        <v/>
      </c>
    </row>
    <row r="106" spans="1:6">
      <c r="A106" s="7" t="str">
        <f t="shared" si="11"/>
        <v/>
      </c>
      <c r="B106" s="14" t="str">
        <f t="shared" si="6"/>
        <v/>
      </c>
      <c r="C106" s="14" t="str">
        <f t="shared" si="7"/>
        <v/>
      </c>
      <c r="D106" s="14" t="str">
        <f t="shared" si="8"/>
        <v/>
      </c>
      <c r="E106" s="14" t="str">
        <f t="shared" si="9"/>
        <v/>
      </c>
      <c r="F106" s="14" t="str">
        <f t="shared" si="10"/>
        <v/>
      </c>
    </row>
    <row r="107" spans="1:6">
      <c r="A107" s="7" t="str">
        <f t="shared" si="11"/>
        <v/>
      </c>
      <c r="B107" s="14" t="str">
        <f t="shared" si="6"/>
        <v/>
      </c>
      <c r="C107" s="14" t="str">
        <f t="shared" si="7"/>
        <v/>
      </c>
      <c r="D107" s="14" t="str">
        <f t="shared" si="8"/>
        <v/>
      </c>
      <c r="E107" s="14" t="str">
        <f t="shared" si="9"/>
        <v/>
      </c>
      <c r="F107" s="14" t="str">
        <f t="shared" si="10"/>
        <v/>
      </c>
    </row>
    <row r="108" spans="1:6">
      <c r="A108" s="7" t="str">
        <f t="shared" si="11"/>
        <v/>
      </c>
      <c r="B108" s="14" t="str">
        <f t="shared" si="6"/>
        <v/>
      </c>
      <c r="C108" s="14" t="str">
        <f t="shared" si="7"/>
        <v/>
      </c>
      <c r="D108" s="14" t="str">
        <f t="shared" si="8"/>
        <v/>
      </c>
      <c r="E108" s="14" t="str">
        <f t="shared" si="9"/>
        <v/>
      </c>
      <c r="F108" s="14" t="str">
        <f t="shared" si="10"/>
        <v/>
      </c>
    </row>
    <row r="109" spans="1:6">
      <c r="A109" s="7" t="str">
        <f t="shared" si="11"/>
        <v/>
      </c>
      <c r="B109" s="14" t="str">
        <f t="shared" si="6"/>
        <v/>
      </c>
      <c r="C109" s="14" t="str">
        <f t="shared" si="7"/>
        <v/>
      </c>
      <c r="D109" s="14" t="str">
        <f t="shared" si="8"/>
        <v/>
      </c>
      <c r="E109" s="14" t="str">
        <f t="shared" si="9"/>
        <v/>
      </c>
      <c r="F109" s="14" t="str">
        <f t="shared" si="10"/>
        <v/>
      </c>
    </row>
    <row r="110" spans="1:6">
      <c r="A110" s="7" t="str">
        <f t="shared" si="11"/>
        <v/>
      </c>
      <c r="B110" s="14" t="str">
        <f t="shared" si="6"/>
        <v/>
      </c>
      <c r="C110" s="14" t="str">
        <f t="shared" si="7"/>
        <v/>
      </c>
      <c r="D110" s="14" t="str">
        <f t="shared" si="8"/>
        <v/>
      </c>
      <c r="E110" s="14" t="str">
        <f t="shared" si="9"/>
        <v/>
      </c>
      <c r="F110" s="14" t="str">
        <f t="shared" si="10"/>
        <v/>
      </c>
    </row>
    <row r="111" spans="1:6">
      <c r="A111" s="7" t="str">
        <f t="shared" si="11"/>
        <v/>
      </c>
      <c r="B111" s="14" t="str">
        <f t="shared" si="6"/>
        <v/>
      </c>
      <c r="C111" s="14" t="str">
        <f t="shared" si="7"/>
        <v/>
      </c>
      <c r="D111" s="14" t="str">
        <f t="shared" si="8"/>
        <v/>
      </c>
      <c r="E111" s="14" t="str">
        <f t="shared" si="9"/>
        <v/>
      </c>
      <c r="F111" s="14" t="str">
        <f t="shared" si="10"/>
        <v/>
      </c>
    </row>
    <row r="112" spans="1:6">
      <c r="A112" s="7" t="str">
        <f t="shared" si="11"/>
        <v/>
      </c>
      <c r="B112" s="14" t="str">
        <f t="shared" si="6"/>
        <v/>
      </c>
      <c r="C112" s="14" t="str">
        <f t="shared" si="7"/>
        <v/>
      </c>
      <c r="D112" s="14" t="str">
        <f t="shared" si="8"/>
        <v/>
      </c>
      <c r="E112" s="14" t="str">
        <f t="shared" si="9"/>
        <v/>
      </c>
      <c r="F112" s="14" t="str">
        <f t="shared" si="10"/>
        <v/>
      </c>
    </row>
    <row r="113" spans="1:6">
      <c r="A113" s="7" t="str">
        <f t="shared" si="11"/>
        <v/>
      </c>
      <c r="B113" s="14" t="str">
        <f t="shared" si="6"/>
        <v/>
      </c>
      <c r="C113" s="14" t="str">
        <f t="shared" si="7"/>
        <v/>
      </c>
      <c r="D113" s="14" t="str">
        <f t="shared" si="8"/>
        <v/>
      </c>
      <c r="E113" s="14" t="str">
        <f t="shared" si="9"/>
        <v/>
      </c>
      <c r="F113" s="14" t="str">
        <f t="shared" si="10"/>
        <v/>
      </c>
    </row>
    <row r="114" spans="1:6">
      <c r="A114" s="7" t="str">
        <f t="shared" si="11"/>
        <v/>
      </c>
      <c r="B114" s="14" t="str">
        <f t="shared" si="6"/>
        <v/>
      </c>
      <c r="C114" s="14" t="str">
        <f t="shared" si="7"/>
        <v/>
      </c>
      <c r="D114" s="14" t="str">
        <f t="shared" si="8"/>
        <v/>
      </c>
      <c r="E114" s="14" t="str">
        <f t="shared" si="9"/>
        <v/>
      </c>
      <c r="F114" s="14" t="str">
        <f t="shared" si="10"/>
        <v/>
      </c>
    </row>
    <row r="115" spans="1:6">
      <c r="A115" s="7" t="str">
        <f t="shared" si="11"/>
        <v/>
      </c>
      <c r="B115" s="14" t="str">
        <f t="shared" si="6"/>
        <v/>
      </c>
      <c r="C115" s="14" t="str">
        <f t="shared" si="7"/>
        <v/>
      </c>
      <c r="D115" s="14" t="str">
        <f t="shared" si="8"/>
        <v/>
      </c>
      <c r="E115" s="14" t="str">
        <f t="shared" si="9"/>
        <v/>
      </c>
      <c r="F115" s="14" t="str">
        <f t="shared" si="10"/>
        <v/>
      </c>
    </row>
    <row r="116" spans="1:6">
      <c r="A116" s="7" t="str">
        <f t="shared" si="11"/>
        <v/>
      </c>
      <c r="B116" s="14" t="str">
        <f t="shared" si="6"/>
        <v/>
      </c>
      <c r="C116" s="14" t="str">
        <f t="shared" si="7"/>
        <v/>
      </c>
      <c r="D116" s="14" t="str">
        <f t="shared" si="8"/>
        <v/>
      </c>
      <c r="E116" s="14" t="str">
        <f t="shared" si="9"/>
        <v/>
      </c>
      <c r="F116" s="14" t="str">
        <f t="shared" si="10"/>
        <v/>
      </c>
    </row>
    <row r="117" spans="1:6">
      <c r="A117" s="7" t="str">
        <f t="shared" si="11"/>
        <v/>
      </c>
      <c r="B117" s="14" t="str">
        <f t="shared" si="6"/>
        <v/>
      </c>
      <c r="C117" s="14" t="str">
        <f t="shared" si="7"/>
        <v/>
      </c>
      <c r="D117" s="14" t="str">
        <f t="shared" si="8"/>
        <v/>
      </c>
      <c r="E117" s="14" t="str">
        <f t="shared" si="9"/>
        <v/>
      </c>
      <c r="F117" s="14" t="str">
        <f t="shared" si="10"/>
        <v/>
      </c>
    </row>
    <row r="118" spans="1:6">
      <c r="A118" s="7" t="str">
        <f t="shared" si="11"/>
        <v/>
      </c>
      <c r="B118" s="14" t="str">
        <f t="shared" si="6"/>
        <v/>
      </c>
      <c r="C118" s="14" t="str">
        <f t="shared" si="7"/>
        <v/>
      </c>
      <c r="D118" s="14" t="str">
        <f t="shared" si="8"/>
        <v/>
      </c>
      <c r="E118" s="14" t="str">
        <f t="shared" si="9"/>
        <v/>
      </c>
      <c r="F118" s="14" t="str">
        <f t="shared" si="10"/>
        <v/>
      </c>
    </row>
    <row r="119" spans="1:6">
      <c r="A119" s="7" t="str">
        <f t="shared" si="11"/>
        <v/>
      </c>
      <c r="B119" s="14" t="str">
        <f t="shared" si="6"/>
        <v/>
      </c>
      <c r="C119" s="14" t="str">
        <f t="shared" si="7"/>
        <v/>
      </c>
      <c r="D119" s="14" t="str">
        <f t="shared" si="8"/>
        <v/>
      </c>
      <c r="E119" s="14" t="str">
        <f t="shared" si="9"/>
        <v/>
      </c>
      <c r="F119" s="14" t="str">
        <f t="shared" si="10"/>
        <v/>
      </c>
    </row>
    <row r="120" spans="1:6">
      <c r="A120" s="7" t="str">
        <f t="shared" si="11"/>
        <v/>
      </c>
      <c r="B120" s="14" t="str">
        <f t="shared" si="6"/>
        <v/>
      </c>
      <c r="C120" s="14" t="str">
        <f t="shared" si="7"/>
        <v/>
      </c>
      <c r="D120" s="14" t="str">
        <f t="shared" si="8"/>
        <v/>
      </c>
      <c r="E120" s="14" t="str">
        <f t="shared" si="9"/>
        <v/>
      </c>
      <c r="F120" s="14" t="str">
        <f t="shared" si="10"/>
        <v/>
      </c>
    </row>
    <row r="121" spans="1:6">
      <c r="A121" s="7" t="str">
        <f t="shared" si="11"/>
        <v/>
      </c>
      <c r="B121" s="14" t="str">
        <f t="shared" si="6"/>
        <v/>
      </c>
      <c r="C121" s="14" t="str">
        <f t="shared" si="7"/>
        <v/>
      </c>
      <c r="D121" s="14" t="str">
        <f t="shared" si="8"/>
        <v/>
      </c>
      <c r="E121" s="14" t="str">
        <f t="shared" si="9"/>
        <v/>
      </c>
      <c r="F121" s="14" t="str">
        <f t="shared" si="10"/>
        <v/>
      </c>
    </row>
    <row r="122" spans="1:6">
      <c r="A122" s="7" t="str">
        <f t="shared" si="11"/>
        <v/>
      </c>
      <c r="B122" s="14" t="str">
        <f t="shared" si="6"/>
        <v/>
      </c>
      <c r="C122" s="14" t="str">
        <f t="shared" si="7"/>
        <v/>
      </c>
      <c r="D122" s="14" t="str">
        <f t="shared" si="8"/>
        <v/>
      </c>
      <c r="E122" s="14" t="str">
        <f t="shared" si="9"/>
        <v/>
      </c>
      <c r="F122" s="14" t="str">
        <f t="shared" si="10"/>
        <v/>
      </c>
    </row>
    <row r="123" spans="1:6">
      <c r="A123" s="7" t="str">
        <f t="shared" si="11"/>
        <v/>
      </c>
      <c r="B123" s="14" t="str">
        <f t="shared" si="6"/>
        <v/>
      </c>
      <c r="C123" s="14" t="str">
        <f t="shared" si="7"/>
        <v/>
      </c>
      <c r="D123" s="14" t="str">
        <f t="shared" si="8"/>
        <v/>
      </c>
      <c r="E123" s="14" t="str">
        <f t="shared" si="9"/>
        <v/>
      </c>
      <c r="F123" s="14" t="str">
        <f t="shared" si="10"/>
        <v/>
      </c>
    </row>
    <row r="124" spans="1:6">
      <c r="A124" s="7" t="str">
        <f t="shared" si="11"/>
        <v/>
      </c>
      <c r="B124" s="14" t="str">
        <f t="shared" si="6"/>
        <v/>
      </c>
      <c r="C124" s="14" t="str">
        <f t="shared" si="7"/>
        <v/>
      </c>
      <c r="D124" s="14" t="str">
        <f t="shared" si="8"/>
        <v/>
      </c>
      <c r="E124" s="14" t="str">
        <f t="shared" si="9"/>
        <v/>
      </c>
      <c r="F124" s="14" t="str">
        <f t="shared" si="10"/>
        <v/>
      </c>
    </row>
    <row r="125" spans="1:6">
      <c r="A125" s="7" t="str">
        <f t="shared" si="11"/>
        <v/>
      </c>
      <c r="B125" s="14" t="str">
        <f t="shared" si="6"/>
        <v/>
      </c>
      <c r="C125" s="14" t="str">
        <f t="shared" si="7"/>
        <v/>
      </c>
      <c r="D125" s="14" t="str">
        <f t="shared" si="8"/>
        <v/>
      </c>
      <c r="E125" s="14" t="str">
        <f t="shared" si="9"/>
        <v/>
      </c>
      <c r="F125" s="14" t="str">
        <f t="shared" si="10"/>
        <v/>
      </c>
    </row>
    <row r="126" spans="1:6">
      <c r="A126" s="7" t="str">
        <f t="shared" si="11"/>
        <v/>
      </c>
      <c r="B126" s="14" t="str">
        <f t="shared" si="6"/>
        <v/>
      </c>
      <c r="C126" s="14" t="str">
        <f t="shared" si="7"/>
        <v/>
      </c>
      <c r="D126" s="14" t="str">
        <f t="shared" si="8"/>
        <v/>
      </c>
      <c r="E126" s="14" t="str">
        <f t="shared" si="9"/>
        <v/>
      </c>
      <c r="F126" s="14" t="str">
        <f t="shared" si="10"/>
        <v/>
      </c>
    </row>
    <row r="127" spans="1:6">
      <c r="A127" s="7" t="str">
        <f t="shared" si="11"/>
        <v/>
      </c>
      <c r="B127" s="14" t="str">
        <f t="shared" si="6"/>
        <v/>
      </c>
      <c r="C127" s="14" t="str">
        <f t="shared" si="7"/>
        <v/>
      </c>
      <c r="D127" s="14" t="str">
        <f t="shared" si="8"/>
        <v/>
      </c>
      <c r="E127" s="14" t="str">
        <f t="shared" si="9"/>
        <v/>
      </c>
      <c r="F127" s="14" t="str">
        <f t="shared" si="10"/>
        <v/>
      </c>
    </row>
    <row r="128" spans="1:6">
      <c r="A128" s="7" t="str">
        <f t="shared" si="11"/>
        <v/>
      </c>
      <c r="B128" s="14" t="str">
        <f t="shared" si="6"/>
        <v/>
      </c>
      <c r="C128" s="14" t="str">
        <f t="shared" si="7"/>
        <v/>
      </c>
      <c r="D128" s="14" t="str">
        <f t="shared" si="8"/>
        <v/>
      </c>
      <c r="E128" s="14" t="str">
        <f t="shared" si="9"/>
        <v/>
      </c>
      <c r="F128" s="14" t="str">
        <f t="shared" si="10"/>
        <v/>
      </c>
    </row>
    <row r="129" spans="1:6">
      <c r="A129" s="7" t="str">
        <f t="shared" si="11"/>
        <v/>
      </c>
      <c r="B129" s="14" t="str">
        <f t="shared" si="6"/>
        <v/>
      </c>
      <c r="C129" s="14" t="str">
        <f t="shared" si="7"/>
        <v/>
      </c>
      <c r="D129" s="14" t="str">
        <f t="shared" si="8"/>
        <v/>
      </c>
      <c r="E129" s="14" t="str">
        <f t="shared" si="9"/>
        <v/>
      </c>
      <c r="F129" s="14" t="str">
        <f t="shared" si="10"/>
        <v/>
      </c>
    </row>
    <row r="130" spans="1:6">
      <c r="A130" s="7" t="str">
        <f t="shared" si="11"/>
        <v/>
      </c>
      <c r="B130" s="14" t="str">
        <f t="shared" si="6"/>
        <v/>
      </c>
      <c r="C130" s="14" t="str">
        <f t="shared" si="7"/>
        <v/>
      </c>
      <c r="D130" s="14" t="str">
        <f t="shared" si="8"/>
        <v/>
      </c>
      <c r="E130" s="14" t="str">
        <f t="shared" si="9"/>
        <v/>
      </c>
      <c r="F130" s="14" t="str">
        <f t="shared" si="10"/>
        <v/>
      </c>
    </row>
    <row r="131" spans="1:6">
      <c r="A131" s="7" t="str">
        <f t="shared" si="11"/>
        <v/>
      </c>
      <c r="B131" s="14" t="str">
        <f t="shared" si="6"/>
        <v/>
      </c>
      <c r="C131" s="14" t="str">
        <f t="shared" si="7"/>
        <v/>
      </c>
      <c r="D131" s="14" t="str">
        <f t="shared" si="8"/>
        <v/>
      </c>
      <c r="E131" s="14" t="str">
        <f t="shared" si="9"/>
        <v/>
      </c>
      <c r="F131" s="14" t="str">
        <f t="shared" si="10"/>
        <v/>
      </c>
    </row>
    <row r="132" spans="1:6">
      <c r="A132" s="7" t="str">
        <f t="shared" si="11"/>
        <v/>
      </c>
      <c r="B132" s="14" t="str">
        <f t="shared" si="6"/>
        <v/>
      </c>
      <c r="C132" s="14" t="str">
        <f t="shared" si="7"/>
        <v/>
      </c>
      <c r="D132" s="14" t="str">
        <f t="shared" si="8"/>
        <v/>
      </c>
      <c r="E132" s="14" t="str">
        <f t="shared" si="9"/>
        <v/>
      </c>
      <c r="F132" s="14" t="str">
        <f t="shared" si="10"/>
        <v/>
      </c>
    </row>
    <row r="133" spans="1:6">
      <c r="A133" s="7" t="str">
        <f t="shared" si="11"/>
        <v/>
      </c>
      <c r="B133" s="14" t="str">
        <f t="shared" si="6"/>
        <v/>
      </c>
      <c r="C133" s="14" t="str">
        <f t="shared" si="7"/>
        <v/>
      </c>
      <c r="D133" s="14" t="str">
        <f t="shared" si="8"/>
        <v/>
      </c>
      <c r="E133" s="14" t="str">
        <f t="shared" si="9"/>
        <v/>
      </c>
      <c r="F133" s="14" t="str">
        <f t="shared" si="10"/>
        <v/>
      </c>
    </row>
    <row r="134" spans="1:6">
      <c r="A134" s="7" t="str">
        <f t="shared" si="11"/>
        <v/>
      </c>
      <c r="B134" s="14" t="str">
        <f t="shared" si="6"/>
        <v/>
      </c>
      <c r="C134" s="14" t="str">
        <f t="shared" si="7"/>
        <v/>
      </c>
      <c r="D134" s="14" t="str">
        <f t="shared" si="8"/>
        <v/>
      </c>
      <c r="E134" s="14" t="str">
        <f t="shared" si="9"/>
        <v/>
      </c>
      <c r="F134" s="14" t="str">
        <f t="shared" si="10"/>
        <v/>
      </c>
    </row>
    <row r="135" spans="1:6">
      <c r="A135" s="7" t="str">
        <f t="shared" si="11"/>
        <v/>
      </c>
      <c r="B135" s="14" t="str">
        <f t="shared" si="6"/>
        <v/>
      </c>
      <c r="C135" s="14" t="str">
        <f t="shared" si="7"/>
        <v/>
      </c>
      <c r="D135" s="14" t="str">
        <f t="shared" si="8"/>
        <v/>
      </c>
      <c r="E135" s="14" t="str">
        <f t="shared" si="9"/>
        <v/>
      </c>
      <c r="F135" s="14" t="str">
        <f t="shared" si="10"/>
        <v/>
      </c>
    </row>
    <row r="136" spans="1:6">
      <c r="A136" s="7" t="str">
        <f t="shared" si="11"/>
        <v/>
      </c>
      <c r="B136" s="14" t="str">
        <f t="shared" si="6"/>
        <v/>
      </c>
      <c r="C136" s="14" t="str">
        <f t="shared" si="7"/>
        <v/>
      </c>
      <c r="D136" s="14" t="str">
        <f t="shared" si="8"/>
        <v/>
      </c>
      <c r="E136" s="14" t="str">
        <f t="shared" si="9"/>
        <v/>
      </c>
      <c r="F136" s="14" t="str">
        <f t="shared" si="10"/>
        <v/>
      </c>
    </row>
    <row r="137" spans="1:6">
      <c r="A137" s="7" t="str">
        <f t="shared" si="11"/>
        <v/>
      </c>
      <c r="B137" s="14" t="str">
        <f t="shared" si="6"/>
        <v/>
      </c>
      <c r="C137" s="14" t="str">
        <f t="shared" si="7"/>
        <v/>
      </c>
      <c r="D137" s="14" t="str">
        <f t="shared" si="8"/>
        <v/>
      </c>
      <c r="E137" s="14" t="str">
        <f t="shared" si="9"/>
        <v/>
      </c>
      <c r="F137" s="14" t="str">
        <f t="shared" si="10"/>
        <v/>
      </c>
    </row>
    <row r="138" spans="1:6">
      <c r="A138" s="7" t="str">
        <f t="shared" si="11"/>
        <v/>
      </c>
      <c r="B138" s="14" t="str">
        <f t="shared" si="6"/>
        <v/>
      </c>
      <c r="C138" s="14" t="str">
        <f t="shared" si="7"/>
        <v/>
      </c>
      <c r="D138" s="14" t="str">
        <f t="shared" si="8"/>
        <v/>
      </c>
      <c r="E138" s="14" t="str">
        <f t="shared" si="9"/>
        <v/>
      </c>
      <c r="F138" s="14" t="str">
        <f t="shared" si="10"/>
        <v/>
      </c>
    </row>
    <row r="139" spans="1:6">
      <c r="A139" s="7" t="str">
        <f t="shared" si="11"/>
        <v/>
      </c>
      <c r="B139" s="14" t="str">
        <f t="shared" si="6"/>
        <v/>
      </c>
      <c r="C139" s="14" t="str">
        <f t="shared" si="7"/>
        <v/>
      </c>
      <c r="D139" s="14" t="str">
        <f t="shared" si="8"/>
        <v/>
      </c>
      <c r="E139" s="14" t="str">
        <f t="shared" si="9"/>
        <v/>
      </c>
      <c r="F139" s="14" t="str">
        <f t="shared" si="10"/>
        <v/>
      </c>
    </row>
    <row r="140" spans="1:6">
      <c r="A140" s="7" t="str">
        <f t="shared" si="11"/>
        <v/>
      </c>
      <c r="B140" s="14" t="str">
        <f t="shared" si="6"/>
        <v/>
      </c>
      <c r="C140" s="14" t="str">
        <f t="shared" si="7"/>
        <v/>
      </c>
      <c r="D140" s="14" t="str">
        <f t="shared" si="8"/>
        <v/>
      </c>
      <c r="E140" s="14" t="str">
        <f t="shared" si="9"/>
        <v/>
      </c>
      <c r="F140" s="14" t="str">
        <f t="shared" si="10"/>
        <v/>
      </c>
    </row>
    <row r="141" spans="1:6">
      <c r="A141" s="7" t="str">
        <f t="shared" si="11"/>
        <v/>
      </c>
      <c r="B141" s="14" t="str">
        <f t="shared" si="6"/>
        <v/>
      </c>
      <c r="C141" s="14" t="str">
        <f t="shared" si="7"/>
        <v/>
      </c>
      <c r="D141" s="14" t="str">
        <f t="shared" si="8"/>
        <v/>
      </c>
      <c r="E141" s="14" t="str">
        <f t="shared" si="9"/>
        <v/>
      </c>
      <c r="F141" s="14" t="str">
        <f t="shared" si="10"/>
        <v/>
      </c>
    </row>
    <row r="142" spans="1:6">
      <c r="A142" s="7" t="str">
        <f t="shared" si="11"/>
        <v/>
      </c>
      <c r="B142" s="14" t="str">
        <f t="shared" si="6"/>
        <v/>
      </c>
      <c r="C142" s="14" t="str">
        <f t="shared" si="7"/>
        <v/>
      </c>
      <c r="D142" s="14" t="str">
        <f t="shared" si="8"/>
        <v/>
      </c>
      <c r="E142" s="14" t="str">
        <f t="shared" si="9"/>
        <v/>
      </c>
      <c r="F142" s="14" t="str">
        <f t="shared" si="10"/>
        <v/>
      </c>
    </row>
    <row r="143" spans="1:6">
      <c r="A143" s="7" t="str">
        <f t="shared" si="11"/>
        <v/>
      </c>
      <c r="B143" s="14" t="str">
        <f t="shared" si="6"/>
        <v/>
      </c>
      <c r="C143" s="14" t="str">
        <f t="shared" si="7"/>
        <v/>
      </c>
      <c r="D143" s="14" t="str">
        <f t="shared" si="8"/>
        <v/>
      </c>
      <c r="E143" s="14" t="str">
        <f t="shared" si="9"/>
        <v/>
      </c>
      <c r="F143" s="14" t="str">
        <f t="shared" si="10"/>
        <v/>
      </c>
    </row>
    <row r="144" spans="1:6">
      <c r="A144" s="7" t="str">
        <f t="shared" si="11"/>
        <v/>
      </c>
      <c r="B144" s="14" t="str">
        <f t="shared" si="6"/>
        <v/>
      </c>
      <c r="C144" s="14" t="str">
        <f t="shared" si="7"/>
        <v/>
      </c>
      <c r="D144" s="14" t="str">
        <f t="shared" si="8"/>
        <v/>
      </c>
      <c r="E144" s="14" t="str">
        <f t="shared" si="9"/>
        <v/>
      </c>
      <c r="F144" s="14" t="str">
        <f t="shared" si="10"/>
        <v/>
      </c>
    </row>
    <row r="145" spans="1:6">
      <c r="A145" s="7" t="str">
        <f t="shared" si="11"/>
        <v/>
      </c>
      <c r="B145" s="14" t="str">
        <f t="shared" si="6"/>
        <v/>
      </c>
      <c r="C145" s="14" t="str">
        <f t="shared" si="7"/>
        <v/>
      </c>
      <c r="D145" s="14" t="str">
        <f t="shared" si="8"/>
        <v/>
      </c>
      <c r="E145" s="14" t="str">
        <f t="shared" si="9"/>
        <v/>
      </c>
      <c r="F145" s="14" t="str">
        <f t="shared" si="10"/>
        <v/>
      </c>
    </row>
    <row r="146" spans="1:6">
      <c r="A146" s="7" t="str">
        <f t="shared" si="11"/>
        <v/>
      </c>
      <c r="B146" s="14" t="str">
        <f t="shared" si="6"/>
        <v/>
      </c>
      <c r="C146" s="14" t="str">
        <f t="shared" si="7"/>
        <v/>
      </c>
      <c r="D146" s="14" t="str">
        <f t="shared" si="8"/>
        <v/>
      </c>
      <c r="E146" s="14" t="str">
        <f t="shared" si="9"/>
        <v/>
      </c>
      <c r="F146" s="14" t="str">
        <f t="shared" si="10"/>
        <v/>
      </c>
    </row>
    <row r="147" spans="1:6">
      <c r="A147" s="7" t="str">
        <f t="shared" si="11"/>
        <v/>
      </c>
      <c r="B147" s="14" t="str">
        <f t="shared" si="6"/>
        <v/>
      </c>
      <c r="C147" s="14" t="str">
        <f t="shared" si="7"/>
        <v/>
      </c>
      <c r="D147" s="14" t="str">
        <f t="shared" si="8"/>
        <v/>
      </c>
      <c r="E147" s="14" t="str">
        <f t="shared" si="9"/>
        <v/>
      </c>
      <c r="F147" s="14" t="str">
        <f t="shared" si="10"/>
        <v/>
      </c>
    </row>
    <row r="148" spans="1:6">
      <c r="A148" s="7" t="str">
        <f t="shared" si="11"/>
        <v/>
      </c>
      <c r="B148" s="14" t="str">
        <f t="shared" ref="B148:B211" si="12">IF(A148&lt;=$E$9,C148+D148,"")</f>
        <v/>
      </c>
      <c r="C148" s="14" t="str">
        <f t="shared" ref="C148:C211" si="13">IF(A148&lt;=$E$9,F147*($E$8/$E$10),"")</f>
        <v/>
      </c>
      <c r="D148" s="14" t="str">
        <f t="shared" ref="D148:D211" si="14">IF(A148&lt;=$E$9,$E$13-C148,"")</f>
        <v/>
      </c>
      <c r="E148" s="14" t="str">
        <f t="shared" ref="E148:E211" si="15">IF(A148&lt;=$E$9,E147+D148,"")</f>
        <v/>
      </c>
      <c r="F148" s="14" t="str">
        <f t="shared" ref="F148:F211" si="16">IF(A148&lt;=$E$9,ROUND(($F$19-E148),2),"")</f>
        <v/>
      </c>
    </row>
    <row r="149" spans="1:6">
      <c r="A149" s="7" t="str">
        <f t="shared" ref="A149:A212" si="17">IF(A148&lt;$E$9,A148+1,"")</f>
        <v/>
      </c>
      <c r="B149" s="14" t="str">
        <f t="shared" si="12"/>
        <v/>
      </c>
      <c r="C149" s="14" t="str">
        <f t="shared" si="13"/>
        <v/>
      </c>
      <c r="D149" s="14" t="str">
        <f t="shared" si="14"/>
        <v/>
      </c>
      <c r="E149" s="14" t="str">
        <f t="shared" si="15"/>
        <v/>
      </c>
      <c r="F149" s="14" t="str">
        <f t="shared" si="16"/>
        <v/>
      </c>
    </row>
    <row r="150" spans="1:6">
      <c r="A150" s="7" t="str">
        <f t="shared" si="17"/>
        <v/>
      </c>
      <c r="B150" s="14" t="str">
        <f t="shared" si="12"/>
        <v/>
      </c>
      <c r="C150" s="14" t="str">
        <f t="shared" si="13"/>
        <v/>
      </c>
      <c r="D150" s="14" t="str">
        <f t="shared" si="14"/>
        <v/>
      </c>
      <c r="E150" s="14" t="str">
        <f t="shared" si="15"/>
        <v/>
      </c>
      <c r="F150" s="14" t="str">
        <f t="shared" si="16"/>
        <v/>
      </c>
    </row>
    <row r="151" spans="1:6">
      <c r="A151" s="7" t="str">
        <f t="shared" si="17"/>
        <v/>
      </c>
      <c r="B151" s="14" t="str">
        <f t="shared" si="12"/>
        <v/>
      </c>
      <c r="C151" s="14" t="str">
        <f t="shared" si="13"/>
        <v/>
      </c>
      <c r="D151" s="14" t="str">
        <f t="shared" si="14"/>
        <v/>
      </c>
      <c r="E151" s="14" t="str">
        <f t="shared" si="15"/>
        <v/>
      </c>
      <c r="F151" s="14" t="str">
        <f t="shared" si="16"/>
        <v/>
      </c>
    </row>
    <row r="152" spans="1:6">
      <c r="A152" s="7" t="str">
        <f t="shared" si="17"/>
        <v/>
      </c>
      <c r="B152" s="14" t="str">
        <f t="shared" si="12"/>
        <v/>
      </c>
      <c r="C152" s="14" t="str">
        <f t="shared" si="13"/>
        <v/>
      </c>
      <c r="D152" s="14" t="str">
        <f t="shared" si="14"/>
        <v/>
      </c>
      <c r="E152" s="14" t="str">
        <f t="shared" si="15"/>
        <v/>
      </c>
      <c r="F152" s="14" t="str">
        <f t="shared" si="16"/>
        <v/>
      </c>
    </row>
    <row r="153" spans="1:6">
      <c r="A153" s="7" t="str">
        <f t="shared" si="17"/>
        <v/>
      </c>
      <c r="B153" s="14" t="str">
        <f t="shared" si="12"/>
        <v/>
      </c>
      <c r="C153" s="14" t="str">
        <f t="shared" si="13"/>
        <v/>
      </c>
      <c r="D153" s="14" t="str">
        <f t="shared" si="14"/>
        <v/>
      </c>
      <c r="E153" s="14" t="str">
        <f t="shared" si="15"/>
        <v/>
      </c>
      <c r="F153" s="14" t="str">
        <f t="shared" si="16"/>
        <v/>
      </c>
    </row>
    <row r="154" spans="1:6">
      <c r="A154" s="7" t="str">
        <f t="shared" si="17"/>
        <v/>
      </c>
      <c r="B154" s="14" t="str">
        <f t="shared" si="12"/>
        <v/>
      </c>
      <c r="C154" s="14" t="str">
        <f t="shared" si="13"/>
        <v/>
      </c>
      <c r="D154" s="14" t="str">
        <f t="shared" si="14"/>
        <v/>
      </c>
      <c r="E154" s="14" t="str">
        <f t="shared" si="15"/>
        <v/>
      </c>
      <c r="F154" s="14" t="str">
        <f t="shared" si="16"/>
        <v/>
      </c>
    </row>
    <row r="155" spans="1:6">
      <c r="A155" s="7" t="str">
        <f t="shared" si="17"/>
        <v/>
      </c>
      <c r="B155" s="14" t="str">
        <f t="shared" si="12"/>
        <v/>
      </c>
      <c r="C155" s="14" t="str">
        <f t="shared" si="13"/>
        <v/>
      </c>
      <c r="D155" s="14" t="str">
        <f t="shared" si="14"/>
        <v/>
      </c>
      <c r="E155" s="14" t="str">
        <f t="shared" si="15"/>
        <v/>
      </c>
      <c r="F155" s="14" t="str">
        <f t="shared" si="16"/>
        <v/>
      </c>
    </row>
    <row r="156" spans="1:6">
      <c r="A156" s="7" t="str">
        <f t="shared" si="17"/>
        <v/>
      </c>
      <c r="B156" s="14" t="str">
        <f t="shared" si="12"/>
        <v/>
      </c>
      <c r="C156" s="14" t="str">
        <f t="shared" si="13"/>
        <v/>
      </c>
      <c r="D156" s="14" t="str">
        <f t="shared" si="14"/>
        <v/>
      </c>
      <c r="E156" s="14" t="str">
        <f t="shared" si="15"/>
        <v/>
      </c>
      <c r="F156" s="14" t="str">
        <f t="shared" si="16"/>
        <v/>
      </c>
    </row>
    <row r="157" spans="1:6">
      <c r="A157" s="7" t="str">
        <f t="shared" si="17"/>
        <v/>
      </c>
      <c r="B157" s="14" t="str">
        <f t="shared" si="12"/>
        <v/>
      </c>
      <c r="C157" s="14" t="str">
        <f t="shared" si="13"/>
        <v/>
      </c>
      <c r="D157" s="14" t="str">
        <f t="shared" si="14"/>
        <v/>
      </c>
      <c r="E157" s="14" t="str">
        <f t="shared" si="15"/>
        <v/>
      </c>
      <c r="F157" s="14" t="str">
        <f t="shared" si="16"/>
        <v/>
      </c>
    </row>
    <row r="158" spans="1:6">
      <c r="A158" s="7" t="str">
        <f t="shared" si="17"/>
        <v/>
      </c>
      <c r="B158" s="14" t="str">
        <f t="shared" si="12"/>
        <v/>
      </c>
      <c r="C158" s="14" t="str">
        <f t="shared" si="13"/>
        <v/>
      </c>
      <c r="D158" s="14" t="str">
        <f t="shared" si="14"/>
        <v/>
      </c>
      <c r="E158" s="14" t="str">
        <f t="shared" si="15"/>
        <v/>
      </c>
      <c r="F158" s="14" t="str">
        <f t="shared" si="16"/>
        <v/>
      </c>
    </row>
    <row r="159" spans="1:6">
      <c r="A159" s="7" t="str">
        <f t="shared" si="17"/>
        <v/>
      </c>
      <c r="B159" s="14" t="str">
        <f t="shared" si="12"/>
        <v/>
      </c>
      <c r="C159" s="14" t="str">
        <f t="shared" si="13"/>
        <v/>
      </c>
      <c r="D159" s="14" t="str">
        <f t="shared" si="14"/>
        <v/>
      </c>
      <c r="E159" s="14" t="str">
        <f t="shared" si="15"/>
        <v/>
      </c>
      <c r="F159" s="14" t="str">
        <f t="shared" si="16"/>
        <v/>
      </c>
    </row>
    <row r="160" spans="1:6">
      <c r="A160" s="7" t="str">
        <f t="shared" si="17"/>
        <v/>
      </c>
      <c r="B160" s="14" t="str">
        <f t="shared" si="12"/>
        <v/>
      </c>
      <c r="C160" s="14" t="str">
        <f t="shared" si="13"/>
        <v/>
      </c>
      <c r="D160" s="14" t="str">
        <f t="shared" si="14"/>
        <v/>
      </c>
      <c r="E160" s="14" t="str">
        <f t="shared" si="15"/>
        <v/>
      </c>
      <c r="F160" s="14" t="str">
        <f t="shared" si="16"/>
        <v/>
      </c>
    </row>
    <row r="161" spans="1:6">
      <c r="A161" s="7" t="str">
        <f t="shared" si="17"/>
        <v/>
      </c>
      <c r="B161" s="14" t="str">
        <f t="shared" si="12"/>
        <v/>
      </c>
      <c r="C161" s="14" t="str">
        <f t="shared" si="13"/>
        <v/>
      </c>
      <c r="D161" s="14" t="str">
        <f t="shared" si="14"/>
        <v/>
      </c>
      <c r="E161" s="14" t="str">
        <f t="shared" si="15"/>
        <v/>
      </c>
      <c r="F161" s="14" t="str">
        <f t="shared" si="16"/>
        <v/>
      </c>
    </row>
    <row r="162" spans="1:6">
      <c r="A162" s="7" t="str">
        <f t="shared" si="17"/>
        <v/>
      </c>
      <c r="B162" s="14" t="str">
        <f t="shared" si="12"/>
        <v/>
      </c>
      <c r="C162" s="14" t="str">
        <f t="shared" si="13"/>
        <v/>
      </c>
      <c r="D162" s="14" t="str">
        <f t="shared" si="14"/>
        <v/>
      </c>
      <c r="E162" s="14" t="str">
        <f t="shared" si="15"/>
        <v/>
      </c>
      <c r="F162" s="14" t="str">
        <f t="shared" si="16"/>
        <v/>
      </c>
    </row>
    <row r="163" spans="1:6">
      <c r="A163" s="7" t="str">
        <f t="shared" si="17"/>
        <v/>
      </c>
      <c r="B163" s="14" t="str">
        <f t="shared" si="12"/>
        <v/>
      </c>
      <c r="C163" s="14" t="str">
        <f t="shared" si="13"/>
        <v/>
      </c>
      <c r="D163" s="14" t="str">
        <f t="shared" si="14"/>
        <v/>
      </c>
      <c r="E163" s="14" t="str">
        <f t="shared" si="15"/>
        <v/>
      </c>
      <c r="F163" s="14" t="str">
        <f t="shared" si="16"/>
        <v/>
      </c>
    </row>
    <row r="164" spans="1:6">
      <c r="A164" s="7" t="str">
        <f t="shared" si="17"/>
        <v/>
      </c>
      <c r="B164" s="14" t="str">
        <f t="shared" si="12"/>
        <v/>
      </c>
      <c r="C164" s="14" t="str">
        <f t="shared" si="13"/>
        <v/>
      </c>
      <c r="D164" s="14" t="str">
        <f t="shared" si="14"/>
        <v/>
      </c>
      <c r="E164" s="14" t="str">
        <f t="shared" si="15"/>
        <v/>
      </c>
      <c r="F164" s="14" t="str">
        <f t="shared" si="16"/>
        <v/>
      </c>
    </row>
    <row r="165" spans="1:6">
      <c r="A165" s="7" t="str">
        <f t="shared" si="17"/>
        <v/>
      </c>
      <c r="B165" s="14" t="str">
        <f t="shared" si="12"/>
        <v/>
      </c>
      <c r="C165" s="14" t="str">
        <f t="shared" si="13"/>
        <v/>
      </c>
      <c r="D165" s="14" t="str">
        <f t="shared" si="14"/>
        <v/>
      </c>
      <c r="E165" s="14" t="str">
        <f t="shared" si="15"/>
        <v/>
      </c>
      <c r="F165" s="14" t="str">
        <f t="shared" si="16"/>
        <v/>
      </c>
    </row>
    <row r="166" spans="1:6">
      <c r="A166" s="7" t="str">
        <f t="shared" si="17"/>
        <v/>
      </c>
      <c r="B166" s="14" t="str">
        <f t="shared" si="12"/>
        <v/>
      </c>
      <c r="C166" s="14" t="str">
        <f t="shared" si="13"/>
        <v/>
      </c>
      <c r="D166" s="14" t="str">
        <f t="shared" si="14"/>
        <v/>
      </c>
      <c r="E166" s="14" t="str">
        <f t="shared" si="15"/>
        <v/>
      </c>
      <c r="F166" s="14" t="str">
        <f t="shared" si="16"/>
        <v/>
      </c>
    </row>
    <row r="167" spans="1:6">
      <c r="A167" s="7" t="str">
        <f t="shared" si="17"/>
        <v/>
      </c>
      <c r="B167" s="14" t="str">
        <f t="shared" si="12"/>
        <v/>
      </c>
      <c r="C167" s="14" t="str">
        <f t="shared" si="13"/>
        <v/>
      </c>
      <c r="D167" s="14" t="str">
        <f t="shared" si="14"/>
        <v/>
      </c>
      <c r="E167" s="14" t="str">
        <f t="shared" si="15"/>
        <v/>
      </c>
      <c r="F167" s="14" t="str">
        <f t="shared" si="16"/>
        <v/>
      </c>
    </row>
    <row r="168" spans="1:6">
      <c r="A168" s="7" t="str">
        <f t="shared" si="17"/>
        <v/>
      </c>
      <c r="B168" s="14" t="str">
        <f t="shared" si="12"/>
        <v/>
      </c>
      <c r="C168" s="14" t="str">
        <f t="shared" si="13"/>
        <v/>
      </c>
      <c r="D168" s="14" t="str">
        <f t="shared" si="14"/>
        <v/>
      </c>
      <c r="E168" s="14" t="str">
        <f t="shared" si="15"/>
        <v/>
      </c>
      <c r="F168" s="14" t="str">
        <f t="shared" si="16"/>
        <v/>
      </c>
    </row>
    <row r="169" spans="1:6">
      <c r="A169" s="7" t="str">
        <f t="shared" si="17"/>
        <v/>
      </c>
      <c r="B169" s="14" t="str">
        <f t="shared" si="12"/>
        <v/>
      </c>
      <c r="C169" s="14" t="str">
        <f t="shared" si="13"/>
        <v/>
      </c>
      <c r="D169" s="14" t="str">
        <f t="shared" si="14"/>
        <v/>
      </c>
      <c r="E169" s="14" t="str">
        <f t="shared" si="15"/>
        <v/>
      </c>
      <c r="F169" s="14" t="str">
        <f t="shared" si="16"/>
        <v/>
      </c>
    </row>
    <row r="170" spans="1:6">
      <c r="A170" s="7" t="str">
        <f t="shared" si="17"/>
        <v/>
      </c>
      <c r="B170" s="14" t="str">
        <f t="shared" si="12"/>
        <v/>
      </c>
      <c r="C170" s="14" t="str">
        <f t="shared" si="13"/>
        <v/>
      </c>
      <c r="D170" s="14" t="str">
        <f t="shared" si="14"/>
        <v/>
      </c>
      <c r="E170" s="14" t="str">
        <f t="shared" si="15"/>
        <v/>
      </c>
      <c r="F170" s="14" t="str">
        <f t="shared" si="16"/>
        <v/>
      </c>
    </row>
    <row r="171" spans="1:6">
      <c r="A171" s="7" t="str">
        <f t="shared" si="17"/>
        <v/>
      </c>
      <c r="B171" s="14" t="str">
        <f t="shared" si="12"/>
        <v/>
      </c>
      <c r="C171" s="14" t="str">
        <f t="shared" si="13"/>
        <v/>
      </c>
      <c r="D171" s="14" t="str">
        <f t="shared" si="14"/>
        <v/>
      </c>
      <c r="E171" s="14" t="str">
        <f t="shared" si="15"/>
        <v/>
      </c>
      <c r="F171" s="14" t="str">
        <f t="shared" si="16"/>
        <v/>
      </c>
    </row>
    <row r="172" spans="1:6">
      <c r="A172" s="7" t="str">
        <f t="shared" si="17"/>
        <v/>
      </c>
      <c r="B172" s="14" t="str">
        <f t="shared" si="12"/>
        <v/>
      </c>
      <c r="C172" s="14" t="str">
        <f t="shared" si="13"/>
        <v/>
      </c>
      <c r="D172" s="14" t="str">
        <f t="shared" si="14"/>
        <v/>
      </c>
      <c r="E172" s="14" t="str">
        <f t="shared" si="15"/>
        <v/>
      </c>
      <c r="F172" s="14" t="str">
        <f t="shared" si="16"/>
        <v/>
      </c>
    </row>
    <row r="173" spans="1:6">
      <c r="A173" s="7" t="str">
        <f t="shared" si="17"/>
        <v/>
      </c>
      <c r="B173" s="14" t="str">
        <f t="shared" si="12"/>
        <v/>
      </c>
      <c r="C173" s="14" t="str">
        <f t="shared" si="13"/>
        <v/>
      </c>
      <c r="D173" s="14" t="str">
        <f t="shared" si="14"/>
        <v/>
      </c>
      <c r="E173" s="14" t="str">
        <f t="shared" si="15"/>
        <v/>
      </c>
      <c r="F173" s="14" t="str">
        <f t="shared" si="16"/>
        <v/>
      </c>
    </row>
    <row r="174" spans="1:6">
      <c r="A174" s="7" t="str">
        <f t="shared" si="17"/>
        <v/>
      </c>
      <c r="B174" s="14" t="str">
        <f t="shared" si="12"/>
        <v/>
      </c>
      <c r="C174" s="14" t="str">
        <f t="shared" si="13"/>
        <v/>
      </c>
      <c r="D174" s="14" t="str">
        <f t="shared" si="14"/>
        <v/>
      </c>
      <c r="E174" s="14" t="str">
        <f t="shared" si="15"/>
        <v/>
      </c>
      <c r="F174" s="14" t="str">
        <f t="shared" si="16"/>
        <v/>
      </c>
    </row>
    <row r="175" spans="1:6">
      <c r="A175" s="7" t="str">
        <f t="shared" si="17"/>
        <v/>
      </c>
      <c r="B175" s="14" t="str">
        <f t="shared" si="12"/>
        <v/>
      </c>
      <c r="C175" s="14" t="str">
        <f t="shared" si="13"/>
        <v/>
      </c>
      <c r="D175" s="14" t="str">
        <f t="shared" si="14"/>
        <v/>
      </c>
      <c r="E175" s="14" t="str">
        <f t="shared" si="15"/>
        <v/>
      </c>
      <c r="F175" s="14" t="str">
        <f t="shared" si="16"/>
        <v/>
      </c>
    </row>
    <row r="176" spans="1:6">
      <c r="A176" s="7" t="str">
        <f t="shared" si="17"/>
        <v/>
      </c>
      <c r="B176" s="14" t="str">
        <f t="shared" si="12"/>
        <v/>
      </c>
      <c r="C176" s="14" t="str">
        <f t="shared" si="13"/>
        <v/>
      </c>
      <c r="D176" s="14" t="str">
        <f t="shared" si="14"/>
        <v/>
      </c>
      <c r="E176" s="14" t="str">
        <f t="shared" si="15"/>
        <v/>
      </c>
      <c r="F176" s="14" t="str">
        <f t="shared" si="16"/>
        <v/>
      </c>
    </row>
    <row r="177" spans="1:6">
      <c r="A177" s="7" t="str">
        <f t="shared" si="17"/>
        <v/>
      </c>
      <c r="B177" s="14" t="str">
        <f t="shared" si="12"/>
        <v/>
      </c>
      <c r="C177" s="14" t="str">
        <f t="shared" si="13"/>
        <v/>
      </c>
      <c r="D177" s="14" t="str">
        <f t="shared" si="14"/>
        <v/>
      </c>
      <c r="E177" s="14" t="str">
        <f t="shared" si="15"/>
        <v/>
      </c>
      <c r="F177" s="14" t="str">
        <f t="shared" si="16"/>
        <v/>
      </c>
    </row>
    <row r="178" spans="1:6">
      <c r="A178" s="7" t="str">
        <f t="shared" si="17"/>
        <v/>
      </c>
      <c r="B178" s="14" t="str">
        <f t="shared" si="12"/>
        <v/>
      </c>
      <c r="C178" s="14" t="str">
        <f t="shared" si="13"/>
        <v/>
      </c>
      <c r="D178" s="14" t="str">
        <f t="shared" si="14"/>
        <v/>
      </c>
      <c r="E178" s="14" t="str">
        <f t="shared" si="15"/>
        <v/>
      </c>
      <c r="F178" s="14" t="str">
        <f t="shared" si="16"/>
        <v/>
      </c>
    </row>
    <row r="179" spans="1:6">
      <c r="A179" s="7" t="str">
        <f t="shared" si="17"/>
        <v/>
      </c>
      <c r="B179" s="14" t="str">
        <f t="shared" si="12"/>
        <v/>
      </c>
      <c r="C179" s="14" t="str">
        <f t="shared" si="13"/>
        <v/>
      </c>
      <c r="D179" s="14" t="str">
        <f t="shared" si="14"/>
        <v/>
      </c>
      <c r="E179" s="14" t="str">
        <f t="shared" si="15"/>
        <v/>
      </c>
      <c r="F179" s="14" t="str">
        <f t="shared" si="16"/>
        <v/>
      </c>
    </row>
    <row r="180" spans="1:6">
      <c r="A180" s="7" t="str">
        <f t="shared" si="17"/>
        <v/>
      </c>
      <c r="B180" s="14" t="str">
        <f t="shared" si="12"/>
        <v/>
      </c>
      <c r="C180" s="14" t="str">
        <f t="shared" si="13"/>
        <v/>
      </c>
      <c r="D180" s="14" t="str">
        <f t="shared" si="14"/>
        <v/>
      </c>
      <c r="E180" s="14" t="str">
        <f t="shared" si="15"/>
        <v/>
      </c>
      <c r="F180" s="14" t="str">
        <f t="shared" si="16"/>
        <v/>
      </c>
    </row>
    <row r="181" spans="1:6">
      <c r="A181" s="7" t="str">
        <f t="shared" si="17"/>
        <v/>
      </c>
      <c r="B181" s="14" t="str">
        <f t="shared" si="12"/>
        <v/>
      </c>
      <c r="C181" s="14" t="str">
        <f t="shared" si="13"/>
        <v/>
      </c>
      <c r="D181" s="14" t="str">
        <f t="shared" si="14"/>
        <v/>
      </c>
      <c r="E181" s="14" t="str">
        <f t="shared" si="15"/>
        <v/>
      </c>
      <c r="F181" s="14" t="str">
        <f t="shared" si="16"/>
        <v/>
      </c>
    </row>
    <row r="182" spans="1:6">
      <c r="A182" s="7" t="str">
        <f t="shared" si="17"/>
        <v/>
      </c>
      <c r="B182" s="14" t="str">
        <f t="shared" si="12"/>
        <v/>
      </c>
      <c r="C182" s="14" t="str">
        <f t="shared" si="13"/>
        <v/>
      </c>
      <c r="D182" s="14" t="str">
        <f t="shared" si="14"/>
        <v/>
      </c>
      <c r="E182" s="14" t="str">
        <f t="shared" si="15"/>
        <v/>
      </c>
      <c r="F182" s="14" t="str">
        <f t="shared" si="16"/>
        <v/>
      </c>
    </row>
    <row r="183" spans="1:6">
      <c r="A183" s="7" t="str">
        <f t="shared" si="17"/>
        <v/>
      </c>
      <c r="B183" s="14" t="str">
        <f t="shared" si="12"/>
        <v/>
      </c>
      <c r="C183" s="14" t="str">
        <f t="shared" si="13"/>
        <v/>
      </c>
      <c r="D183" s="14" t="str">
        <f t="shared" si="14"/>
        <v/>
      </c>
      <c r="E183" s="14" t="str">
        <f t="shared" si="15"/>
        <v/>
      </c>
      <c r="F183" s="14" t="str">
        <f t="shared" si="16"/>
        <v/>
      </c>
    </row>
    <row r="184" spans="1:6">
      <c r="A184" s="7" t="str">
        <f t="shared" si="17"/>
        <v/>
      </c>
      <c r="B184" s="14" t="str">
        <f t="shared" si="12"/>
        <v/>
      </c>
      <c r="C184" s="14" t="str">
        <f t="shared" si="13"/>
        <v/>
      </c>
      <c r="D184" s="14" t="str">
        <f t="shared" si="14"/>
        <v/>
      </c>
      <c r="E184" s="14" t="str">
        <f t="shared" si="15"/>
        <v/>
      </c>
      <c r="F184" s="14" t="str">
        <f t="shared" si="16"/>
        <v/>
      </c>
    </row>
    <row r="185" spans="1:6">
      <c r="A185" s="7" t="str">
        <f t="shared" si="17"/>
        <v/>
      </c>
      <c r="B185" s="14" t="str">
        <f t="shared" si="12"/>
        <v/>
      </c>
      <c r="C185" s="14" t="str">
        <f t="shared" si="13"/>
        <v/>
      </c>
      <c r="D185" s="14" t="str">
        <f t="shared" si="14"/>
        <v/>
      </c>
      <c r="E185" s="14" t="str">
        <f t="shared" si="15"/>
        <v/>
      </c>
      <c r="F185" s="14" t="str">
        <f t="shared" si="16"/>
        <v/>
      </c>
    </row>
    <row r="186" spans="1:6">
      <c r="A186" s="7" t="str">
        <f t="shared" si="17"/>
        <v/>
      </c>
      <c r="B186" s="14" t="str">
        <f t="shared" si="12"/>
        <v/>
      </c>
      <c r="C186" s="14" t="str">
        <f t="shared" si="13"/>
        <v/>
      </c>
      <c r="D186" s="14" t="str">
        <f t="shared" si="14"/>
        <v/>
      </c>
      <c r="E186" s="14" t="str">
        <f t="shared" si="15"/>
        <v/>
      </c>
      <c r="F186" s="14" t="str">
        <f t="shared" si="16"/>
        <v/>
      </c>
    </row>
    <row r="187" spans="1:6">
      <c r="A187" s="7" t="str">
        <f t="shared" si="17"/>
        <v/>
      </c>
      <c r="B187" s="14" t="str">
        <f t="shared" si="12"/>
        <v/>
      </c>
      <c r="C187" s="14" t="str">
        <f t="shared" si="13"/>
        <v/>
      </c>
      <c r="D187" s="14" t="str">
        <f t="shared" si="14"/>
        <v/>
      </c>
      <c r="E187" s="14" t="str">
        <f t="shared" si="15"/>
        <v/>
      </c>
      <c r="F187" s="14" t="str">
        <f t="shared" si="16"/>
        <v/>
      </c>
    </row>
    <row r="188" spans="1:6">
      <c r="A188" s="7" t="str">
        <f t="shared" si="17"/>
        <v/>
      </c>
      <c r="B188" s="14" t="str">
        <f t="shared" si="12"/>
        <v/>
      </c>
      <c r="C188" s="14" t="str">
        <f t="shared" si="13"/>
        <v/>
      </c>
      <c r="D188" s="14" t="str">
        <f t="shared" si="14"/>
        <v/>
      </c>
      <c r="E188" s="14" t="str">
        <f t="shared" si="15"/>
        <v/>
      </c>
      <c r="F188" s="14" t="str">
        <f t="shared" si="16"/>
        <v/>
      </c>
    </row>
    <row r="189" spans="1:6">
      <c r="A189" s="7" t="str">
        <f t="shared" si="17"/>
        <v/>
      </c>
      <c r="B189" s="14" t="str">
        <f t="shared" si="12"/>
        <v/>
      </c>
      <c r="C189" s="14" t="str">
        <f t="shared" si="13"/>
        <v/>
      </c>
      <c r="D189" s="14" t="str">
        <f t="shared" si="14"/>
        <v/>
      </c>
      <c r="E189" s="14" t="str">
        <f t="shared" si="15"/>
        <v/>
      </c>
      <c r="F189" s="14" t="str">
        <f t="shared" si="16"/>
        <v/>
      </c>
    </row>
    <row r="190" spans="1:6">
      <c r="A190" s="7" t="str">
        <f t="shared" si="17"/>
        <v/>
      </c>
      <c r="B190" s="14" t="str">
        <f t="shared" si="12"/>
        <v/>
      </c>
      <c r="C190" s="14" t="str">
        <f t="shared" si="13"/>
        <v/>
      </c>
      <c r="D190" s="14" t="str">
        <f t="shared" si="14"/>
        <v/>
      </c>
      <c r="E190" s="14" t="str">
        <f t="shared" si="15"/>
        <v/>
      </c>
      <c r="F190" s="14" t="str">
        <f t="shared" si="16"/>
        <v/>
      </c>
    </row>
    <row r="191" spans="1:6">
      <c r="A191" s="7" t="str">
        <f t="shared" si="17"/>
        <v/>
      </c>
      <c r="B191" s="14" t="str">
        <f t="shared" si="12"/>
        <v/>
      </c>
      <c r="C191" s="14" t="str">
        <f t="shared" si="13"/>
        <v/>
      </c>
      <c r="D191" s="14" t="str">
        <f t="shared" si="14"/>
        <v/>
      </c>
      <c r="E191" s="14" t="str">
        <f t="shared" si="15"/>
        <v/>
      </c>
      <c r="F191" s="14" t="str">
        <f t="shared" si="16"/>
        <v/>
      </c>
    </row>
    <row r="192" spans="1:6">
      <c r="A192" s="7" t="str">
        <f t="shared" si="17"/>
        <v/>
      </c>
      <c r="B192" s="14" t="str">
        <f t="shared" si="12"/>
        <v/>
      </c>
      <c r="C192" s="14" t="str">
        <f t="shared" si="13"/>
        <v/>
      </c>
      <c r="D192" s="14" t="str">
        <f t="shared" si="14"/>
        <v/>
      </c>
      <c r="E192" s="14" t="str">
        <f t="shared" si="15"/>
        <v/>
      </c>
      <c r="F192" s="14" t="str">
        <f t="shared" si="16"/>
        <v/>
      </c>
    </row>
    <row r="193" spans="1:6">
      <c r="A193" s="7" t="str">
        <f t="shared" si="17"/>
        <v/>
      </c>
      <c r="B193" s="14" t="str">
        <f t="shared" si="12"/>
        <v/>
      </c>
      <c r="C193" s="14" t="str">
        <f t="shared" si="13"/>
        <v/>
      </c>
      <c r="D193" s="14" t="str">
        <f t="shared" si="14"/>
        <v/>
      </c>
      <c r="E193" s="14" t="str">
        <f t="shared" si="15"/>
        <v/>
      </c>
      <c r="F193" s="14" t="str">
        <f t="shared" si="16"/>
        <v/>
      </c>
    </row>
    <row r="194" spans="1:6">
      <c r="A194" s="7" t="str">
        <f t="shared" si="17"/>
        <v/>
      </c>
      <c r="B194" s="14" t="str">
        <f t="shared" si="12"/>
        <v/>
      </c>
      <c r="C194" s="14" t="str">
        <f t="shared" si="13"/>
        <v/>
      </c>
      <c r="D194" s="14" t="str">
        <f t="shared" si="14"/>
        <v/>
      </c>
      <c r="E194" s="14" t="str">
        <f t="shared" si="15"/>
        <v/>
      </c>
      <c r="F194" s="14" t="str">
        <f t="shared" si="16"/>
        <v/>
      </c>
    </row>
    <row r="195" spans="1:6">
      <c r="A195" s="7" t="str">
        <f t="shared" si="17"/>
        <v/>
      </c>
      <c r="B195" s="14" t="str">
        <f t="shared" si="12"/>
        <v/>
      </c>
      <c r="C195" s="14" t="str">
        <f t="shared" si="13"/>
        <v/>
      </c>
      <c r="D195" s="14" t="str">
        <f t="shared" si="14"/>
        <v/>
      </c>
      <c r="E195" s="14" t="str">
        <f t="shared" si="15"/>
        <v/>
      </c>
      <c r="F195" s="14" t="str">
        <f t="shared" si="16"/>
        <v/>
      </c>
    </row>
    <row r="196" spans="1:6">
      <c r="A196" s="7" t="str">
        <f t="shared" si="17"/>
        <v/>
      </c>
      <c r="B196" s="14" t="str">
        <f t="shared" si="12"/>
        <v/>
      </c>
      <c r="C196" s="14" t="str">
        <f t="shared" si="13"/>
        <v/>
      </c>
      <c r="D196" s="14" t="str">
        <f t="shared" si="14"/>
        <v/>
      </c>
      <c r="E196" s="14" t="str">
        <f t="shared" si="15"/>
        <v/>
      </c>
      <c r="F196" s="14" t="str">
        <f t="shared" si="16"/>
        <v/>
      </c>
    </row>
    <row r="197" spans="1:6">
      <c r="A197" s="7" t="str">
        <f t="shared" si="17"/>
        <v/>
      </c>
      <c r="B197" s="14" t="str">
        <f t="shared" si="12"/>
        <v/>
      </c>
      <c r="C197" s="14" t="str">
        <f t="shared" si="13"/>
        <v/>
      </c>
      <c r="D197" s="14" t="str">
        <f t="shared" si="14"/>
        <v/>
      </c>
      <c r="E197" s="14" t="str">
        <f t="shared" si="15"/>
        <v/>
      </c>
      <c r="F197" s="14" t="str">
        <f t="shared" si="16"/>
        <v/>
      </c>
    </row>
    <row r="198" spans="1:6">
      <c r="A198" s="7" t="str">
        <f t="shared" si="17"/>
        <v/>
      </c>
      <c r="B198" s="14" t="str">
        <f t="shared" si="12"/>
        <v/>
      </c>
      <c r="C198" s="14" t="str">
        <f t="shared" si="13"/>
        <v/>
      </c>
      <c r="D198" s="14" t="str">
        <f t="shared" si="14"/>
        <v/>
      </c>
      <c r="E198" s="14" t="str">
        <f t="shared" si="15"/>
        <v/>
      </c>
      <c r="F198" s="14" t="str">
        <f t="shared" si="16"/>
        <v/>
      </c>
    </row>
    <row r="199" spans="1:6">
      <c r="A199" s="7" t="str">
        <f t="shared" si="17"/>
        <v/>
      </c>
      <c r="B199" s="14" t="str">
        <f t="shared" si="12"/>
        <v/>
      </c>
      <c r="C199" s="14" t="str">
        <f t="shared" si="13"/>
        <v/>
      </c>
      <c r="D199" s="14" t="str">
        <f t="shared" si="14"/>
        <v/>
      </c>
      <c r="E199" s="14" t="str">
        <f t="shared" si="15"/>
        <v/>
      </c>
      <c r="F199" s="14" t="str">
        <f t="shared" si="16"/>
        <v/>
      </c>
    </row>
    <row r="200" spans="1:6">
      <c r="A200" s="7" t="str">
        <f t="shared" si="17"/>
        <v/>
      </c>
      <c r="B200" s="14" t="str">
        <f t="shared" si="12"/>
        <v/>
      </c>
      <c r="C200" s="14" t="str">
        <f t="shared" si="13"/>
        <v/>
      </c>
      <c r="D200" s="14" t="str">
        <f t="shared" si="14"/>
        <v/>
      </c>
      <c r="E200" s="14" t="str">
        <f t="shared" si="15"/>
        <v/>
      </c>
      <c r="F200" s="14" t="str">
        <f t="shared" si="16"/>
        <v/>
      </c>
    </row>
    <row r="201" spans="1:6">
      <c r="A201" s="7" t="str">
        <f t="shared" si="17"/>
        <v/>
      </c>
      <c r="B201" s="14" t="str">
        <f t="shared" si="12"/>
        <v/>
      </c>
      <c r="C201" s="14" t="str">
        <f t="shared" si="13"/>
        <v/>
      </c>
      <c r="D201" s="14" t="str">
        <f t="shared" si="14"/>
        <v/>
      </c>
      <c r="E201" s="14" t="str">
        <f t="shared" si="15"/>
        <v/>
      </c>
      <c r="F201" s="14" t="str">
        <f t="shared" si="16"/>
        <v/>
      </c>
    </row>
    <row r="202" spans="1:6">
      <c r="A202" s="7" t="str">
        <f t="shared" si="17"/>
        <v/>
      </c>
      <c r="B202" s="14" t="str">
        <f t="shared" si="12"/>
        <v/>
      </c>
      <c r="C202" s="14" t="str">
        <f t="shared" si="13"/>
        <v/>
      </c>
      <c r="D202" s="14" t="str">
        <f t="shared" si="14"/>
        <v/>
      </c>
      <c r="E202" s="14" t="str">
        <f t="shared" si="15"/>
        <v/>
      </c>
      <c r="F202" s="14" t="str">
        <f t="shared" si="16"/>
        <v/>
      </c>
    </row>
    <row r="203" spans="1:6">
      <c r="A203" s="7" t="str">
        <f t="shared" si="17"/>
        <v/>
      </c>
      <c r="B203" s="14" t="str">
        <f t="shared" si="12"/>
        <v/>
      </c>
      <c r="C203" s="14" t="str">
        <f t="shared" si="13"/>
        <v/>
      </c>
      <c r="D203" s="14" t="str">
        <f t="shared" si="14"/>
        <v/>
      </c>
      <c r="E203" s="14" t="str">
        <f t="shared" si="15"/>
        <v/>
      </c>
      <c r="F203" s="14" t="str">
        <f t="shared" si="16"/>
        <v/>
      </c>
    </row>
    <row r="204" spans="1:6">
      <c r="A204" s="7" t="str">
        <f t="shared" si="17"/>
        <v/>
      </c>
      <c r="B204" s="14" t="str">
        <f t="shared" si="12"/>
        <v/>
      </c>
      <c r="C204" s="14" t="str">
        <f t="shared" si="13"/>
        <v/>
      </c>
      <c r="D204" s="14" t="str">
        <f t="shared" si="14"/>
        <v/>
      </c>
      <c r="E204" s="14" t="str">
        <f t="shared" si="15"/>
        <v/>
      </c>
      <c r="F204" s="14" t="str">
        <f t="shared" si="16"/>
        <v/>
      </c>
    </row>
    <row r="205" spans="1:6">
      <c r="A205" s="7" t="str">
        <f t="shared" si="17"/>
        <v/>
      </c>
      <c r="B205" s="14" t="str">
        <f t="shared" si="12"/>
        <v/>
      </c>
      <c r="C205" s="14" t="str">
        <f t="shared" si="13"/>
        <v/>
      </c>
      <c r="D205" s="14" t="str">
        <f t="shared" si="14"/>
        <v/>
      </c>
      <c r="E205" s="14" t="str">
        <f t="shared" si="15"/>
        <v/>
      </c>
      <c r="F205" s="14" t="str">
        <f t="shared" si="16"/>
        <v/>
      </c>
    </row>
    <row r="206" spans="1:6">
      <c r="A206" s="7" t="str">
        <f t="shared" si="17"/>
        <v/>
      </c>
      <c r="B206" s="14" t="str">
        <f t="shared" si="12"/>
        <v/>
      </c>
      <c r="C206" s="14" t="str">
        <f t="shared" si="13"/>
        <v/>
      </c>
      <c r="D206" s="14" t="str">
        <f t="shared" si="14"/>
        <v/>
      </c>
      <c r="E206" s="14" t="str">
        <f t="shared" si="15"/>
        <v/>
      </c>
      <c r="F206" s="14" t="str">
        <f t="shared" si="16"/>
        <v/>
      </c>
    </row>
    <row r="207" spans="1:6">
      <c r="A207" s="7" t="str">
        <f t="shared" si="17"/>
        <v/>
      </c>
      <c r="B207" s="14" t="str">
        <f t="shared" si="12"/>
        <v/>
      </c>
      <c r="C207" s="14" t="str">
        <f t="shared" si="13"/>
        <v/>
      </c>
      <c r="D207" s="14" t="str">
        <f t="shared" si="14"/>
        <v/>
      </c>
      <c r="E207" s="14" t="str">
        <f t="shared" si="15"/>
        <v/>
      </c>
      <c r="F207" s="14" t="str">
        <f t="shared" si="16"/>
        <v/>
      </c>
    </row>
    <row r="208" spans="1:6">
      <c r="A208" s="7" t="str">
        <f t="shared" si="17"/>
        <v/>
      </c>
      <c r="B208" s="14" t="str">
        <f t="shared" si="12"/>
        <v/>
      </c>
      <c r="C208" s="14" t="str">
        <f t="shared" si="13"/>
        <v/>
      </c>
      <c r="D208" s="14" t="str">
        <f t="shared" si="14"/>
        <v/>
      </c>
      <c r="E208" s="14" t="str">
        <f t="shared" si="15"/>
        <v/>
      </c>
      <c r="F208" s="14" t="str">
        <f t="shared" si="16"/>
        <v/>
      </c>
    </row>
    <row r="209" spans="1:6">
      <c r="A209" s="7" t="str">
        <f t="shared" si="17"/>
        <v/>
      </c>
      <c r="B209" s="14" t="str">
        <f t="shared" si="12"/>
        <v/>
      </c>
      <c r="C209" s="14" t="str">
        <f t="shared" si="13"/>
        <v/>
      </c>
      <c r="D209" s="14" t="str">
        <f t="shared" si="14"/>
        <v/>
      </c>
      <c r="E209" s="14" t="str">
        <f t="shared" si="15"/>
        <v/>
      </c>
      <c r="F209" s="14" t="str">
        <f t="shared" si="16"/>
        <v/>
      </c>
    </row>
    <row r="210" spans="1:6">
      <c r="A210" s="7" t="str">
        <f t="shared" si="17"/>
        <v/>
      </c>
      <c r="B210" s="14" t="str">
        <f t="shared" si="12"/>
        <v/>
      </c>
      <c r="C210" s="14" t="str">
        <f t="shared" si="13"/>
        <v/>
      </c>
      <c r="D210" s="14" t="str">
        <f t="shared" si="14"/>
        <v/>
      </c>
      <c r="E210" s="14" t="str">
        <f t="shared" si="15"/>
        <v/>
      </c>
      <c r="F210" s="14" t="str">
        <f t="shared" si="16"/>
        <v/>
      </c>
    </row>
    <row r="211" spans="1:6">
      <c r="A211" s="7" t="str">
        <f t="shared" si="17"/>
        <v/>
      </c>
      <c r="B211" s="14" t="str">
        <f t="shared" si="12"/>
        <v/>
      </c>
      <c r="C211" s="14" t="str">
        <f t="shared" si="13"/>
        <v/>
      </c>
      <c r="D211" s="14" t="str">
        <f t="shared" si="14"/>
        <v/>
      </c>
      <c r="E211" s="14" t="str">
        <f t="shared" si="15"/>
        <v/>
      </c>
      <c r="F211" s="14" t="str">
        <f t="shared" si="16"/>
        <v/>
      </c>
    </row>
    <row r="212" spans="1:6">
      <c r="A212" s="7" t="str">
        <f t="shared" si="17"/>
        <v/>
      </c>
      <c r="B212" s="14" t="str">
        <f t="shared" ref="B212:B275" si="18">IF(A212&lt;=$E$9,C212+D212,"")</f>
        <v/>
      </c>
      <c r="C212" s="14" t="str">
        <f t="shared" ref="C212:C275" si="19">IF(A212&lt;=$E$9,F211*($E$8/$E$10),"")</f>
        <v/>
      </c>
      <c r="D212" s="14" t="str">
        <f t="shared" ref="D212:D275" si="20">IF(A212&lt;=$E$9,$E$13-C212,"")</f>
        <v/>
      </c>
      <c r="E212" s="14" t="str">
        <f t="shared" ref="E212:E275" si="21">IF(A212&lt;=$E$9,E211+D212,"")</f>
        <v/>
      </c>
      <c r="F212" s="14" t="str">
        <f t="shared" ref="F212:F275" si="22">IF(A212&lt;=$E$9,ROUND(($F$19-E212),2),"")</f>
        <v/>
      </c>
    </row>
    <row r="213" spans="1:6">
      <c r="A213" s="7" t="str">
        <f t="shared" ref="A213:A276" si="23">IF(A212&lt;$E$9,A212+1,"")</f>
        <v/>
      </c>
      <c r="B213" s="14" t="str">
        <f t="shared" si="18"/>
        <v/>
      </c>
      <c r="C213" s="14" t="str">
        <f t="shared" si="19"/>
        <v/>
      </c>
      <c r="D213" s="14" t="str">
        <f t="shared" si="20"/>
        <v/>
      </c>
      <c r="E213" s="14" t="str">
        <f t="shared" si="21"/>
        <v/>
      </c>
      <c r="F213" s="14" t="str">
        <f t="shared" si="22"/>
        <v/>
      </c>
    </row>
    <row r="214" spans="1:6">
      <c r="A214" s="7" t="str">
        <f t="shared" si="23"/>
        <v/>
      </c>
      <c r="B214" s="14" t="str">
        <f t="shared" si="18"/>
        <v/>
      </c>
      <c r="C214" s="14" t="str">
        <f t="shared" si="19"/>
        <v/>
      </c>
      <c r="D214" s="14" t="str">
        <f t="shared" si="20"/>
        <v/>
      </c>
      <c r="E214" s="14" t="str">
        <f t="shared" si="21"/>
        <v/>
      </c>
      <c r="F214" s="14" t="str">
        <f t="shared" si="22"/>
        <v/>
      </c>
    </row>
    <row r="215" spans="1:6">
      <c r="A215" s="7" t="str">
        <f t="shared" si="23"/>
        <v/>
      </c>
      <c r="B215" s="14" t="str">
        <f t="shared" si="18"/>
        <v/>
      </c>
      <c r="C215" s="14" t="str">
        <f t="shared" si="19"/>
        <v/>
      </c>
      <c r="D215" s="14" t="str">
        <f t="shared" si="20"/>
        <v/>
      </c>
      <c r="E215" s="14" t="str">
        <f t="shared" si="21"/>
        <v/>
      </c>
      <c r="F215" s="14" t="str">
        <f t="shared" si="22"/>
        <v/>
      </c>
    </row>
    <row r="216" spans="1:6">
      <c r="A216" s="7" t="str">
        <f t="shared" si="23"/>
        <v/>
      </c>
      <c r="B216" s="14" t="str">
        <f t="shared" si="18"/>
        <v/>
      </c>
      <c r="C216" s="14" t="str">
        <f t="shared" si="19"/>
        <v/>
      </c>
      <c r="D216" s="14" t="str">
        <f t="shared" si="20"/>
        <v/>
      </c>
      <c r="E216" s="14" t="str">
        <f t="shared" si="21"/>
        <v/>
      </c>
      <c r="F216" s="14" t="str">
        <f t="shared" si="22"/>
        <v/>
      </c>
    </row>
    <row r="217" spans="1:6">
      <c r="A217" s="7" t="str">
        <f t="shared" si="23"/>
        <v/>
      </c>
      <c r="B217" s="14" t="str">
        <f t="shared" si="18"/>
        <v/>
      </c>
      <c r="C217" s="14" t="str">
        <f t="shared" si="19"/>
        <v/>
      </c>
      <c r="D217" s="14" t="str">
        <f t="shared" si="20"/>
        <v/>
      </c>
      <c r="E217" s="14" t="str">
        <f t="shared" si="21"/>
        <v/>
      </c>
      <c r="F217" s="14" t="str">
        <f t="shared" si="22"/>
        <v/>
      </c>
    </row>
    <row r="218" spans="1:6">
      <c r="A218" s="7" t="str">
        <f t="shared" si="23"/>
        <v/>
      </c>
      <c r="B218" s="14" t="str">
        <f t="shared" si="18"/>
        <v/>
      </c>
      <c r="C218" s="14" t="str">
        <f t="shared" si="19"/>
        <v/>
      </c>
      <c r="D218" s="14" t="str">
        <f t="shared" si="20"/>
        <v/>
      </c>
      <c r="E218" s="14" t="str">
        <f t="shared" si="21"/>
        <v/>
      </c>
      <c r="F218" s="14" t="str">
        <f t="shared" si="22"/>
        <v/>
      </c>
    </row>
    <row r="219" spans="1:6">
      <c r="A219" s="7" t="str">
        <f t="shared" si="23"/>
        <v/>
      </c>
      <c r="B219" s="14" t="str">
        <f t="shared" si="18"/>
        <v/>
      </c>
      <c r="C219" s="14" t="str">
        <f t="shared" si="19"/>
        <v/>
      </c>
      <c r="D219" s="14" t="str">
        <f t="shared" si="20"/>
        <v/>
      </c>
      <c r="E219" s="14" t="str">
        <f t="shared" si="21"/>
        <v/>
      </c>
      <c r="F219" s="14" t="str">
        <f t="shared" si="22"/>
        <v/>
      </c>
    </row>
    <row r="220" spans="1:6">
      <c r="A220" s="7" t="str">
        <f t="shared" si="23"/>
        <v/>
      </c>
      <c r="B220" s="14" t="str">
        <f t="shared" si="18"/>
        <v/>
      </c>
      <c r="C220" s="14" t="str">
        <f t="shared" si="19"/>
        <v/>
      </c>
      <c r="D220" s="14" t="str">
        <f t="shared" si="20"/>
        <v/>
      </c>
      <c r="E220" s="14" t="str">
        <f t="shared" si="21"/>
        <v/>
      </c>
      <c r="F220" s="14" t="str">
        <f t="shared" si="22"/>
        <v/>
      </c>
    </row>
    <row r="221" spans="1:6">
      <c r="A221" s="7" t="str">
        <f t="shared" si="23"/>
        <v/>
      </c>
      <c r="B221" s="14" t="str">
        <f t="shared" si="18"/>
        <v/>
      </c>
      <c r="C221" s="14" t="str">
        <f t="shared" si="19"/>
        <v/>
      </c>
      <c r="D221" s="14" t="str">
        <f t="shared" si="20"/>
        <v/>
      </c>
      <c r="E221" s="14" t="str">
        <f t="shared" si="21"/>
        <v/>
      </c>
      <c r="F221" s="14" t="str">
        <f t="shared" si="22"/>
        <v/>
      </c>
    </row>
    <row r="222" spans="1:6">
      <c r="A222" s="7" t="str">
        <f t="shared" si="23"/>
        <v/>
      </c>
      <c r="B222" s="14" t="str">
        <f t="shared" si="18"/>
        <v/>
      </c>
      <c r="C222" s="14" t="str">
        <f t="shared" si="19"/>
        <v/>
      </c>
      <c r="D222" s="14" t="str">
        <f t="shared" si="20"/>
        <v/>
      </c>
      <c r="E222" s="14" t="str">
        <f t="shared" si="21"/>
        <v/>
      </c>
      <c r="F222" s="14" t="str">
        <f t="shared" si="22"/>
        <v/>
      </c>
    </row>
    <row r="223" spans="1:6">
      <c r="A223" s="7" t="str">
        <f t="shared" si="23"/>
        <v/>
      </c>
      <c r="B223" s="14" t="str">
        <f t="shared" si="18"/>
        <v/>
      </c>
      <c r="C223" s="14" t="str">
        <f t="shared" si="19"/>
        <v/>
      </c>
      <c r="D223" s="14" t="str">
        <f t="shared" si="20"/>
        <v/>
      </c>
      <c r="E223" s="14" t="str">
        <f t="shared" si="21"/>
        <v/>
      </c>
      <c r="F223" s="14" t="str">
        <f t="shared" si="22"/>
        <v/>
      </c>
    </row>
    <row r="224" spans="1:6">
      <c r="A224" s="7" t="str">
        <f t="shared" si="23"/>
        <v/>
      </c>
      <c r="B224" s="14" t="str">
        <f t="shared" si="18"/>
        <v/>
      </c>
      <c r="C224" s="14" t="str">
        <f t="shared" si="19"/>
        <v/>
      </c>
      <c r="D224" s="14" t="str">
        <f t="shared" si="20"/>
        <v/>
      </c>
      <c r="E224" s="14" t="str">
        <f t="shared" si="21"/>
        <v/>
      </c>
      <c r="F224" s="14" t="str">
        <f t="shared" si="22"/>
        <v/>
      </c>
    </row>
    <row r="225" spans="1:6">
      <c r="A225" s="7" t="str">
        <f t="shared" si="23"/>
        <v/>
      </c>
      <c r="B225" s="14" t="str">
        <f t="shared" si="18"/>
        <v/>
      </c>
      <c r="C225" s="14" t="str">
        <f t="shared" si="19"/>
        <v/>
      </c>
      <c r="D225" s="14" t="str">
        <f t="shared" si="20"/>
        <v/>
      </c>
      <c r="E225" s="14" t="str">
        <f t="shared" si="21"/>
        <v/>
      </c>
      <c r="F225" s="14" t="str">
        <f t="shared" si="22"/>
        <v/>
      </c>
    </row>
    <row r="226" spans="1:6">
      <c r="A226" s="7" t="str">
        <f t="shared" si="23"/>
        <v/>
      </c>
      <c r="B226" s="14" t="str">
        <f t="shared" si="18"/>
        <v/>
      </c>
      <c r="C226" s="14" t="str">
        <f t="shared" si="19"/>
        <v/>
      </c>
      <c r="D226" s="14" t="str">
        <f t="shared" si="20"/>
        <v/>
      </c>
      <c r="E226" s="14" t="str">
        <f t="shared" si="21"/>
        <v/>
      </c>
      <c r="F226" s="14" t="str">
        <f t="shared" si="22"/>
        <v/>
      </c>
    </row>
    <row r="227" spans="1:6">
      <c r="A227" s="7" t="str">
        <f t="shared" si="23"/>
        <v/>
      </c>
      <c r="B227" s="14" t="str">
        <f t="shared" si="18"/>
        <v/>
      </c>
      <c r="C227" s="14" t="str">
        <f t="shared" si="19"/>
        <v/>
      </c>
      <c r="D227" s="14" t="str">
        <f t="shared" si="20"/>
        <v/>
      </c>
      <c r="E227" s="14" t="str">
        <f t="shared" si="21"/>
        <v/>
      </c>
      <c r="F227" s="14" t="str">
        <f t="shared" si="22"/>
        <v/>
      </c>
    </row>
    <row r="228" spans="1:6">
      <c r="A228" s="7" t="str">
        <f t="shared" si="23"/>
        <v/>
      </c>
      <c r="B228" s="14" t="str">
        <f t="shared" si="18"/>
        <v/>
      </c>
      <c r="C228" s="14" t="str">
        <f t="shared" si="19"/>
        <v/>
      </c>
      <c r="D228" s="14" t="str">
        <f t="shared" si="20"/>
        <v/>
      </c>
      <c r="E228" s="14" t="str">
        <f t="shared" si="21"/>
        <v/>
      </c>
      <c r="F228" s="14" t="str">
        <f t="shared" si="22"/>
        <v/>
      </c>
    </row>
    <row r="229" spans="1:6">
      <c r="A229" s="7" t="str">
        <f t="shared" si="23"/>
        <v/>
      </c>
      <c r="B229" s="14" t="str">
        <f t="shared" si="18"/>
        <v/>
      </c>
      <c r="C229" s="14" t="str">
        <f t="shared" si="19"/>
        <v/>
      </c>
      <c r="D229" s="14" t="str">
        <f t="shared" si="20"/>
        <v/>
      </c>
      <c r="E229" s="14" t="str">
        <f t="shared" si="21"/>
        <v/>
      </c>
      <c r="F229" s="14" t="str">
        <f t="shared" si="22"/>
        <v/>
      </c>
    </row>
    <row r="230" spans="1:6">
      <c r="A230" s="7" t="str">
        <f t="shared" si="23"/>
        <v/>
      </c>
      <c r="B230" s="14" t="str">
        <f t="shared" si="18"/>
        <v/>
      </c>
      <c r="C230" s="14" t="str">
        <f t="shared" si="19"/>
        <v/>
      </c>
      <c r="D230" s="14" t="str">
        <f t="shared" si="20"/>
        <v/>
      </c>
      <c r="E230" s="14" t="str">
        <f t="shared" si="21"/>
        <v/>
      </c>
      <c r="F230" s="14" t="str">
        <f t="shared" si="22"/>
        <v/>
      </c>
    </row>
    <row r="231" spans="1:6">
      <c r="A231" s="7" t="str">
        <f t="shared" si="23"/>
        <v/>
      </c>
      <c r="B231" s="14" t="str">
        <f t="shared" si="18"/>
        <v/>
      </c>
      <c r="C231" s="14" t="str">
        <f t="shared" si="19"/>
        <v/>
      </c>
      <c r="D231" s="14" t="str">
        <f t="shared" si="20"/>
        <v/>
      </c>
      <c r="E231" s="14" t="str">
        <f t="shared" si="21"/>
        <v/>
      </c>
      <c r="F231" s="14" t="str">
        <f t="shared" si="22"/>
        <v/>
      </c>
    </row>
    <row r="232" spans="1:6">
      <c r="A232" s="7" t="str">
        <f t="shared" si="23"/>
        <v/>
      </c>
      <c r="B232" s="14" t="str">
        <f t="shared" si="18"/>
        <v/>
      </c>
      <c r="C232" s="14" t="str">
        <f t="shared" si="19"/>
        <v/>
      </c>
      <c r="D232" s="14" t="str">
        <f t="shared" si="20"/>
        <v/>
      </c>
      <c r="E232" s="14" t="str">
        <f t="shared" si="21"/>
        <v/>
      </c>
      <c r="F232" s="14" t="str">
        <f t="shared" si="22"/>
        <v/>
      </c>
    </row>
    <row r="233" spans="1:6">
      <c r="A233" s="7" t="str">
        <f t="shared" si="23"/>
        <v/>
      </c>
      <c r="B233" s="14" t="str">
        <f t="shared" si="18"/>
        <v/>
      </c>
      <c r="C233" s="14" t="str">
        <f t="shared" si="19"/>
        <v/>
      </c>
      <c r="D233" s="14" t="str">
        <f t="shared" si="20"/>
        <v/>
      </c>
      <c r="E233" s="14" t="str">
        <f t="shared" si="21"/>
        <v/>
      </c>
      <c r="F233" s="14" t="str">
        <f t="shared" si="22"/>
        <v/>
      </c>
    </row>
    <row r="234" spans="1:6">
      <c r="A234" s="7" t="str">
        <f t="shared" si="23"/>
        <v/>
      </c>
      <c r="B234" s="14" t="str">
        <f t="shared" si="18"/>
        <v/>
      </c>
      <c r="C234" s="14" t="str">
        <f t="shared" si="19"/>
        <v/>
      </c>
      <c r="D234" s="14" t="str">
        <f t="shared" si="20"/>
        <v/>
      </c>
      <c r="E234" s="14" t="str">
        <f t="shared" si="21"/>
        <v/>
      </c>
      <c r="F234" s="14" t="str">
        <f t="shared" si="22"/>
        <v/>
      </c>
    </row>
    <row r="235" spans="1:6">
      <c r="A235" s="7" t="str">
        <f t="shared" si="23"/>
        <v/>
      </c>
      <c r="B235" s="14" t="str">
        <f t="shared" si="18"/>
        <v/>
      </c>
      <c r="C235" s="14" t="str">
        <f t="shared" si="19"/>
        <v/>
      </c>
      <c r="D235" s="14" t="str">
        <f t="shared" si="20"/>
        <v/>
      </c>
      <c r="E235" s="14" t="str">
        <f t="shared" si="21"/>
        <v/>
      </c>
      <c r="F235" s="14" t="str">
        <f t="shared" si="22"/>
        <v/>
      </c>
    </row>
    <row r="236" spans="1:6">
      <c r="A236" s="7" t="str">
        <f t="shared" si="23"/>
        <v/>
      </c>
      <c r="B236" s="14" t="str">
        <f t="shared" si="18"/>
        <v/>
      </c>
      <c r="C236" s="14" t="str">
        <f t="shared" si="19"/>
        <v/>
      </c>
      <c r="D236" s="14" t="str">
        <f t="shared" si="20"/>
        <v/>
      </c>
      <c r="E236" s="14" t="str">
        <f t="shared" si="21"/>
        <v/>
      </c>
      <c r="F236" s="14" t="str">
        <f t="shared" si="22"/>
        <v/>
      </c>
    </row>
    <row r="237" spans="1:6">
      <c r="A237" s="7" t="str">
        <f t="shared" si="23"/>
        <v/>
      </c>
      <c r="B237" s="14" t="str">
        <f t="shared" si="18"/>
        <v/>
      </c>
      <c r="C237" s="14" t="str">
        <f t="shared" si="19"/>
        <v/>
      </c>
      <c r="D237" s="14" t="str">
        <f t="shared" si="20"/>
        <v/>
      </c>
      <c r="E237" s="14" t="str">
        <f t="shared" si="21"/>
        <v/>
      </c>
      <c r="F237" s="14" t="str">
        <f t="shared" si="22"/>
        <v/>
      </c>
    </row>
    <row r="238" spans="1:6">
      <c r="A238" s="7" t="str">
        <f t="shared" si="23"/>
        <v/>
      </c>
      <c r="B238" s="14" t="str">
        <f t="shared" si="18"/>
        <v/>
      </c>
      <c r="C238" s="14" t="str">
        <f t="shared" si="19"/>
        <v/>
      </c>
      <c r="D238" s="14" t="str">
        <f t="shared" si="20"/>
        <v/>
      </c>
      <c r="E238" s="14" t="str">
        <f t="shared" si="21"/>
        <v/>
      </c>
      <c r="F238" s="14" t="str">
        <f t="shared" si="22"/>
        <v/>
      </c>
    </row>
    <row r="239" spans="1:6">
      <c r="A239" s="7" t="str">
        <f t="shared" si="23"/>
        <v/>
      </c>
      <c r="B239" s="14" t="str">
        <f t="shared" si="18"/>
        <v/>
      </c>
      <c r="C239" s="14" t="str">
        <f t="shared" si="19"/>
        <v/>
      </c>
      <c r="D239" s="14" t="str">
        <f t="shared" si="20"/>
        <v/>
      </c>
      <c r="E239" s="14" t="str">
        <f t="shared" si="21"/>
        <v/>
      </c>
      <c r="F239" s="14" t="str">
        <f t="shared" si="22"/>
        <v/>
      </c>
    </row>
    <row r="240" spans="1:6">
      <c r="A240" s="7" t="str">
        <f t="shared" si="23"/>
        <v/>
      </c>
      <c r="B240" s="14" t="str">
        <f t="shared" si="18"/>
        <v/>
      </c>
      <c r="C240" s="14" t="str">
        <f t="shared" si="19"/>
        <v/>
      </c>
      <c r="D240" s="14" t="str">
        <f t="shared" si="20"/>
        <v/>
      </c>
      <c r="E240" s="14" t="str">
        <f t="shared" si="21"/>
        <v/>
      </c>
      <c r="F240" s="14" t="str">
        <f t="shared" si="22"/>
        <v/>
      </c>
    </row>
    <row r="241" spans="1:6">
      <c r="A241" s="7" t="str">
        <f t="shared" si="23"/>
        <v/>
      </c>
      <c r="B241" s="14" t="str">
        <f t="shared" si="18"/>
        <v/>
      </c>
      <c r="C241" s="14" t="str">
        <f t="shared" si="19"/>
        <v/>
      </c>
      <c r="D241" s="14" t="str">
        <f t="shared" si="20"/>
        <v/>
      </c>
      <c r="E241" s="14" t="str">
        <f t="shared" si="21"/>
        <v/>
      </c>
      <c r="F241" s="14" t="str">
        <f t="shared" si="22"/>
        <v/>
      </c>
    </row>
    <row r="242" spans="1:6">
      <c r="A242" s="7" t="str">
        <f t="shared" si="23"/>
        <v/>
      </c>
      <c r="B242" s="14" t="str">
        <f t="shared" si="18"/>
        <v/>
      </c>
      <c r="C242" s="14" t="str">
        <f t="shared" si="19"/>
        <v/>
      </c>
      <c r="D242" s="14" t="str">
        <f t="shared" si="20"/>
        <v/>
      </c>
      <c r="E242" s="14" t="str">
        <f t="shared" si="21"/>
        <v/>
      </c>
      <c r="F242" s="14" t="str">
        <f t="shared" si="22"/>
        <v/>
      </c>
    </row>
    <row r="243" spans="1:6">
      <c r="A243" s="7" t="str">
        <f t="shared" si="23"/>
        <v/>
      </c>
      <c r="B243" s="14" t="str">
        <f t="shared" si="18"/>
        <v/>
      </c>
      <c r="C243" s="14" t="str">
        <f t="shared" si="19"/>
        <v/>
      </c>
      <c r="D243" s="14" t="str">
        <f t="shared" si="20"/>
        <v/>
      </c>
      <c r="E243" s="14" t="str">
        <f t="shared" si="21"/>
        <v/>
      </c>
      <c r="F243" s="14" t="str">
        <f t="shared" si="22"/>
        <v/>
      </c>
    </row>
    <row r="244" spans="1:6">
      <c r="A244" s="7" t="str">
        <f t="shared" si="23"/>
        <v/>
      </c>
      <c r="B244" s="14" t="str">
        <f t="shared" si="18"/>
        <v/>
      </c>
      <c r="C244" s="14" t="str">
        <f t="shared" si="19"/>
        <v/>
      </c>
      <c r="D244" s="14" t="str">
        <f t="shared" si="20"/>
        <v/>
      </c>
      <c r="E244" s="14" t="str">
        <f t="shared" si="21"/>
        <v/>
      </c>
      <c r="F244" s="14" t="str">
        <f t="shared" si="22"/>
        <v/>
      </c>
    </row>
    <row r="245" spans="1:6">
      <c r="A245" s="7" t="str">
        <f t="shared" si="23"/>
        <v/>
      </c>
      <c r="B245" s="14" t="str">
        <f t="shared" si="18"/>
        <v/>
      </c>
      <c r="C245" s="14" t="str">
        <f t="shared" si="19"/>
        <v/>
      </c>
      <c r="D245" s="14" t="str">
        <f t="shared" si="20"/>
        <v/>
      </c>
      <c r="E245" s="14" t="str">
        <f t="shared" si="21"/>
        <v/>
      </c>
      <c r="F245" s="14" t="str">
        <f t="shared" si="22"/>
        <v/>
      </c>
    </row>
    <row r="246" spans="1:6">
      <c r="A246" s="7" t="str">
        <f t="shared" si="23"/>
        <v/>
      </c>
      <c r="B246" s="14" t="str">
        <f t="shared" si="18"/>
        <v/>
      </c>
      <c r="C246" s="14" t="str">
        <f t="shared" si="19"/>
        <v/>
      </c>
      <c r="D246" s="14" t="str">
        <f t="shared" si="20"/>
        <v/>
      </c>
      <c r="E246" s="14" t="str">
        <f t="shared" si="21"/>
        <v/>
      </c>
      <c r="F246" s="14" t="str">
        <f t="shared" si="22"/>
        <v/>
      </c>
    </row>
    <row r="247" spans="1:6">
      <c r="A247" s="7" t="str">
        <f t="shared" si="23"/>
        <v/>
      </c>
      <c r="B247" s="14" t="str">
        <f t="shared" si="18"/>
        <v/>
      </c>
      <c r="C247" s="14" t="str">
        <f t="shared" si="19"/>
        <v/>
      </c>
      <c r="D247" s="14" t="str">
        <f t="shared" si="20"/>
        <v/>
      </c>
      <c r="E247" s="14" t="str">
        <f t="shared" si="21"/>
        <v/>
      </c>
      <c r="F247" s="14" t="str">
        <f t="shared" si="22"/>
        <v/>
      </c>
    </row>
    <row r="248" spans="1:6">
      <c r="A248" s="7" t="str">
        <f t="shared" si="23"/>
        <v/>
      </c>
      <c r="B248" s="14" t="str">
        <f t="shared" si="18"/>
        <v/>
      </c>
      <c r="C248" s="14" t="str">
        <f t="shared" si="19"/>
        <v/>
      </c>
      <c r="D248" s="14" t="str">
        <f t="shared" si="20"/>
        <v/>
      </c>
      <c r="E248" s="14" t="str">
        <f t="shared" si="21"/>
        <v/>
      </c>
      <c r="F248" s="14" t="str">
        <f t="shared" si="22"/>
        <v/>
      </c>
    </row>
    <row r="249" spans="1:6">
      <c r="A249" s="7" t="str">
        <f t="shared" si="23"/>
        <v/>
      </c>
      <c r="B249" s="14" t="str">
        <f t="shared" si="18"/>
        <v/>
      </c>
      <c r="C249" s="14" t="str">
        <f t="shared" si="19"/>
        <v/>
      </c>
      <c r="D249" s="14" t="str">
        <f t="shared" si="20"/>
        <v/>
      </c>
      <c r="E249" s="14" t="str">
        <f t="shared" si="21"/>
        <v/>
      </c>
      <c r="F249" s="14" t="str">
        <f t="shared" si="22"/>
        <v/>
      </c>
    </row>
    <row r="250" spans="1:6">
      <c r="A250" s="7" t="str">
        <f t="shared" si="23"/>
        <v/>
      </c>
      <c r="B250" s="14" t="str">
        <f t="shared" si="18"/>
        <v/>
      </c>
      <c r="C250" s="14" t="str">
        <f t="shared" si="19"/>
        <v/>
      </c>
      <c r="D250" s="14" t="str">
        <f t="shared" si="20"/>
        <v/>
      </c>
      <c r="E250" s="14" t="str">
        <f t="shared" si="21"/>
        <v/>
      </c>
      <c r="F250" s="14" t="str">
        <f t="shared" si="22"/>
        <v/>
      </c>
    </row>
    <row r="251" spans="1:6">
      <c r="A251" s="7" t="str">
        <f t="shared" si="23"/>
        <v/>
      </c>
      <c r="B251" s="14" t="str">
        <f t="shared" si="18"/>
        <v/>
      </c>
      <c r="C251" s="14" t="str">
        <f t="shared" si="19"/>
        <v/>
      </c>
      <c r="D251" s="14" t="str">
        <f t="shared" si="20"/>
        <v/>
      </c>
      <c r="E251" s="14" t="str">
        <f t="shared" si="21"/>
        <v/>
      </c>
      <c r="F251" s="14" t="str">
        <f t="shared" si="22"/>
        <v/>
      </c>
    </row>
    <row r="252" spans="1:6">
      <c r="A252" s="7" t="str">
        <f t="shared" si="23"/>
        <v/>
      </c>
      <c r="B252" s="14" t="str">
        <f t="shared" si="18"/>
        <v/>
      </c>
      <c r="C252" s="14" t="str">
        <f t="shared" si="19"/>
        <v/>
      </c>
      <c r="D252" s="14" t="str">
        <f t="shared" si="20"/>
        <v/>
      </c>
      <c r="E252" s="14" t="str">
        <f t="shared" si="21"/>
        <v/>
      </c>
      <c r="F252" s="14" t="str">
        <f t="shared" si="22"/>
        <v/>
      </c>
    </row>
    <row r="253" spans="1:6">
      <c r="A253" s="7" t="str">
        <f t="shared" si="23"/>
        <v/>
      </c>
      <c r="B253" s="14" t="str">
        <f t="shared" si="18"/>
        <v/>
      </c>
      <c r="C253" s="14" t="str">
        <f t="shared" si="19"/>
        <v/>
      </c>
      <c r="D253" s="14" t="str">
        <f t="shared" si="20"/>
        <v/>
      </c>
      <c r="E253" s="14" t="str">
        <f t="shared" si="21"/>
        <v/>
      </c>
      <c r="F253" s="14" t="str">
        <f t="shared" si="22"/>
        <v/>
      </c>
    </row>
    <row r="254" spans="1:6">
      <c r="A254" s="7" t="str">
        <f t="shared" si="23"/>
        <v/>
      </c>
      <c r="B254" s="14" t="str">
        <f t="shared" si="18"/>
        <v/>
      </c>
      <c r="C254" s="14" t="str">
        <f t="shared" si="19"/>
        <v/>
      </c>
      <c r="D254" s="14" t="str">
        <f t="shared" si="20"/>
        <v/>
      </c>
      <c r="E254" s="14" t="str">
        <f t="shared" si="21"/>
        <v/>
      </c>
      <c r="F254" s="14" t="str">
        <f t="shared" si="22"/>
        <v/>
      </c>
    </row>
    <row r="255" spans="1:6">
      <c r="A255" s="7" t="str">
        <f t="shared" si="23"/>
        <v/>
      </c>
      <c r="B255" s="14" t="str">
        <f t="shared" si="18"/>
        <v/>
      </c>
      <c r="C255" s="14" t="str">
        <f t="shared" si="19"/>
        <v/>
      </c>
      <c r="D255" s="14" t="str">
        <f t="shared" si="20"/>
        <v/>
      </c>
      <c r="E255" s="14" t="str">
        <f t="shared" si="21"/>
        <v/>
      </c>
      <c r="F255" s="14" t="str">
        <f t="shared" si="22"/>
        <v/>
      </c>
    </row>
    <row r="256" spans="1:6">
      <c r="A256" s="7" t="str">
        <f t="shared" si="23"/>
        <v/>
      </c>
      <c r="B256" s="14" t="str">
        <f t="shared" si="18"/>
        <v/>
      </c>
      <c r="C256" s="14" t="str">
        <f t="shared" si="19"/>
        <v/>
      </c>
      <c r="D256" s="14" t="str">
        <f t="shared" si="20"/>
        <v/>
      </c>
      <c r="E256" s="14" t="str">
        <f t="shared" si="21"/>
        <v/>
      </c>
      <c r="F256" s="14" t="str">
        <f t="shared" si="22"/>
        <v/>
      </c>
    </row>
    <row r="257" spans="1:6">
      <c r="A257" s="7" t="str">
        <f t="shared" si="23"/>
        <v/>
      </c>
      <c r="B257" s="14" t="str">
        <f t="shared" si="18"/>
        <v/>
      </c>
      <c r="C257" s="14" t="str">
        <f t="shared" si="19"/>
        <v/>
      </c>
      <c r="D257" s="14" t="str">
        <f t="shared" si="20"/>
        <v/>
      </c>
      <c r="E257" s="14" t="str">
        <f t="shared" si="21"/>
        <v/>
      </c>
      <c r="F257" s="14" t="str">
        <f t="shared" si="22"/>
        <v/>
      </c>
    </row>
    <row r="258" spans="1:6">
      <c r="A258" s="7" t="str">
        <f t="shared" si="23"/>
        <v/>
      </c>
      <c r="B258" s="14" t="str">
        <f t="shared" si="18"/>
        <v/>
      </c>
      <c r="C258" s="14" t="str">
        <f t="shared" si="19"/>
        <v/>
      </c>
      <c r="D258" s="14" t="str">
        <f t="shared" si="20"/>
        <v/>
      </c>
      <c r="E258" s="14" t="str">
        <f t="shared" si="21"/>
        <v/>
      </c>
      <c r="F258" s="14" t="str">
        <f t="shared" si="22"/>
        <v/>
      </c>
    </row>
    <row r="259" spans="1:6">
      <c r="A259" s="7" t="str">
        <f t="shared" si="23"/>
        <v/>
      </c>
      <c r="B259" s="14" t="str">
        <f t="shared" si="18"/>
        <v/>
      </c>
      <c r="C259" s="14" t="str">
        <f t="shared" si="19"/>
        <v/>
      </c>
      <c r="D259" s="14" t="str">
        <f t="shared" si="20"/>
        <v/>
      </c>
      <c r="E259" s="14" t="str">
        <f t="shared" si="21"/>
        <v/>
      </c>
      <c r="F259" s="14" t="str">
        <f t="shared" si="22"/>
        <v/>
      </c>
    </row>
    <row r="260" spans="1:6">
      <c r="A260" s="7" t="str">
        <f t="shared" si="23"/>
        <v/>
      </c>
      <c r="B260" s="14" t="str">
        <f t="shared" si="18"/>
        <v/>
      </c>
      <c r="C260" s="14" t="str">
        <f t="shared" si="19"/>
        <v/>
      </c>
      <c r="D260" s="14" t="str">
        <f t="shared" si="20"/>
        <v/>
      </c>
      <c r="E260" s="14" t="str">
        <f t="shared" si="21"/>
        <v/>
      </c>
      <c r="F260" s="14" t="str">
        <f t="shared" si="22"/>
        <v/>
      </c>
    </row>
    <row r="261" spans="1:6">
      <c r="A261" s="7" t="str">
        <f t="shared" si="23"/>
        <v/>
      </c>
      <c r="B261" s="14" t="str">
        <f t="shared" si="18"/>
        <v/>
      </c>
      <c r="C261" s="14" t="str">
        <f t="shared" si="19"/>
        <v/>
      </c>
      <c r="D261" s="14" t="str">
        <f t="shared" si="20"/>
        <v/>
      </c>
      <c r="E261" s="14" t="str">
        <f t="shared" si="21"/>
        <v/>
      </c>
      <c r="F261" s="14" t="str">
        <f t="shared" si="22"/>
        <v/>
      </c>
    </row>
    <row r="262" spans="1:6">
      <c r="A262" s="7" t="str">
        <f t="shared" si="23"/>
        <v/>
      </c>
      <c r="B262" s="14" t="str">
        <f t="shared" si="18"/>
        <v/>
      </c>
      <c r="C262" s="14" t="str">
        <f t="shared" si="19"/>
        <v/>
      </c>
      <c r="D262" s="14" t="str">
        <f t="shared" si="20"/>
        <v/>
      </c>
      <c r="E262" s="14" t="str">
        <f t="shared" si="21"/>
        <v/>
      </c>
      <c r="F262" s="14" t="str">
        <f t="shared" si="22"/>
        <v/>
      </c>
    </row>
    <row r="263" spans="1:6">
      <c r="A263" s="7" t="str">
        <f t="shared" si="23"/>
        <v/>
      </c>
      <c r="B263" s="14" t="str">
        <f t="shared" si="18"/>
        <v/>
      </c>
      <c r="C263" s="14" t="str">
        <f t="shared" si="19"/>
        <v/>
      </c>
      <c r="D263" s="14" t="str">
        <f t="shared" si="20"/>
        <v/>
      </c>
      <c r="E263" s="14" t="str">
        <f t="shared" si="21"/>
        <v/>
      </c>
      <c r="F263" s="14" t="str">
        <f t="shared" si="22"/>
        <v/>
      </c>
    </row>
    <row r="264" spans="1:6">
      <c r="A264" s="7" t="str">
        <f t="shared" si="23"/>
        <v/>
      </c>
      <c r="B264" s="14" t="str">
        <f t="shared" si="18"/>
        <v/>
      </c>
      <c r="C264" s="14" t="str">
        <f t="shared" si="19"/>
        <v/>
      </c>
      <c r="D264" s="14" t="str">
        <f t="shared" si="20"/>
        <v/>
      </c>
      <c r="E264" s="14" t="str">
        <f t="shared" si="21"/>
        <v/>
      </c>
      <c r="F264" s="14" t="str">
        <f t="shared" si="22"/>
        <v/>
      </c>
    </row>
    <row r="265" spans="1:6">
      <c r="A265" s="7" t="str">
        <f t="shared" si="23"/>
        <v/>
      </c>
      <c r="B265" s="14" t="str">
        <f t="shared" si="18"/>
        <v/>
      </c>
      <c r="C265" s="14" t="str">
        <f t="shared" si="19"/>
        <v/>
      </c>
      <c r="D265" s="14" t="str">
        <f t="shared" si="20"/>
        <v/>
      </c>
      <c r="E265" s="14" t="str">
        <f t="shared" si="21"/>
        <v/>
      </c>
      <c r="F265" s="14" t="str">
        <f t="shared" si="22"/>
        <v/>
      </c>
    </row>
    <row r="266" spans="1:6">
      <c r="A266" s="7" t="str">
        <f t="shared" si="23"/>
        <v/>
      </c>
      <c r="B266" s="14" t="str">
        <f t="shared" si="18"/>
        <v/>
      </c>
      <c r="C266" s="14" t="str">
        <f t="shared" si="19"/>
        <v/>
      </c>
      <c r="D266" s="14" t="str">
        <f t="shared" si="20"/>
        <v/>
      </c>
      <c r="E266" s="14" t="str">
        <f t="shared" si="21"/>
        <v/>
      </c>
      <c r="F266" s="14" t="str">
        <f t="shared" si="22"/>
        <v/>
      </c>
    </row>
    <row r="267" spans="1:6">
      <c r="A267" s="7" t="str">
        <f t="shared" si="23"/>
        <v/>
      </c>
      <c r="B267" s="14" t="str">
        <f t="shared" si="18"/>
        <v/>
      </c>
      <c r="C267" s="14" t="str">
        <f t="shared" si="19"/>
        <v/>
      </c>
      <c r="D267" s="14" t="str">
        <f t="shared" si="20"/>
        <v/>
      </c>
      <c r="E267" s="14" t="str">
        <f t="shared" si="21"/>
        <v/>
      </c>
      <c r="F267" s="14" t="str">
        <f t="shared" si="22"/>
        <v/>
      </c>
    </row>
    <row r="268" spans="1:6">
      <c r="A268" s="7" t="str">
        <f t="shared" si="23"/>
        <v/>
      </c>
      <c r="B268" s="14" t="str">
        <f t="shared" si="18"/>
        <v/>
      </c>
      <c r="C268" s="14" t="str">
        <f t="shared" si="19"/>
        <v/>
      </c>
      <c r="D268" s="14" t="str">
        <f t="shared" si="20"/>
        <v/>
      </c>
      <c r="E268" s="14" t="str">
        <f t="shared" si="21"/>
        <v/>
      </c>
      <c r="F268" s="14" t="str">
        <f t="shared" si="22"/>
        <v/>
      </c>
    </row>
    <row r="269" spans="1:6">
      <c r="A269" s="7" t="str">
        <f t="shared" si="23"/>
        <v/>
      </c>
      <c r="B269" s="14" t="str">
        <f t="shared" si="18"/>
        <v/>
      </c>
      <c r="C269" s="14" t="str">
        <f t="shared" si="19"/>
        <v/>
      </c>
      <c r="D269" s="14" t="str">
        <f t="shared" si="20"/>
        <v/>
      </c>
      <c r="E269" s="14" t="str">
        <f t="shared" si="21"/>
        <v/>
      </c>
      <c r="F269" s="14" t="str">
        <f t="shared" si="22"/>
        <v/>
      </c>
    </row>
    <row r="270" spans="1:6">
      <c r="A270" s="7" t="str">
        <f t="shared" si="23"/>
        <v/>
      </c>
      <c r="B270" s="14" t="str">
        <f t="shared" si="18"/>
        <v/>
      </c>
      <c r="C270" s="14" t="str">
        <f t="shared" si="19"/>
        <v/>
      </c>
      <c r="D270" s="14" t="str">
        <f t="shared" si="20"/>
        <v/>
      </c>
      <c r="E270" s="14" t="str">
        <f t="shared" si="21"/>
        <v/>
      </c>
      <c r="F270" s="14" t="str">
        <f t="shared" si="22"/>
        <v/>
      </c>
    </row>
    <row r="271" spans="1:6">
      <c r="A271" s="7" t="str">
        <f t="shared" si="23"/>
        <v/>
      </c>
      <c r="B271" s="14" t="str">
        <f t="shared" si="18"/>
        <v/>
      </c>
      <c r="C271" s="14" t="str">
        <f t="shared" si="19"/>
        <v/>
      </c>
      <c r="D271" s="14" t="str">
        <f t="shared" si="20"/>
        <v/>
      </c>
      <c r="E271" s="14" t="str">
        <f t="shared" si="21"/>
        <v/>
      </c>
      <c r="F271" s="14" t="str">
        <f t="shared" si="22"/>
        <v/>
      </c>
    </row>
    <row r="272" spans="1:6">
      <c r="A272" s="7" t="str">
        <f t="shared" si="23"/>
        <v/>
      </c>
      <c r="B272" s="14" t="str">
        <f t="shared" si="18"/>
        <v/>
      </c>
      <c r="C272" s="14" t="str">
        <f t="shared" si="19"/>
        <v/>
      </c>
      <c r="D272" s="14" t="str">
        <f t="shared" si="20"/>
        <v/>
      </c>
      <c r="E272" s="14" t="str">
        <f t="shared" si="21"/>
        <v/>
      </c>
      <c r="F272" s="14" t="str">
        <f t="shared" si="22"/>
        <v/>
      </c>
    </row>
    <row r="273" spans="1:6">
      <c r="A273" s="7" t="str">
        <f t="shared" si="23"/>
        <v/>
      </c>
      <c r="B273" s="14" t="str">
        <f t="shared" si="18"/>
        <v/>
      </c>
      <c r="C273" s="14" t="str">
        <f t="shared" si="19"/>
        <v/>
      </c>
      <c r="D273" s="14" t="str">
        <f t="shared" si="20"/>
        <v/>
      </c>
      <c r="E273" s="14" t="str">
        <f t="shared" si="21"/>
        <v/>
      </c>
      <c r="F273" s="14" t="str">
        <f t="shared" si="22"/>
        <v/>
      </c>
    </row>
    <row r="274" spans="1:6">
      <c r="A274" s="7" t="str">
        <f t="shared" si="23"/>
        <v/>
      </c>
      <c r="B274" s="14" t="str">
        <f t="shared" si="18"/>
        <v/>
      </c>
      <c r="C274" s="14" t="str">
        <f t="shared" si="19"/>
        <v/>
      </c>
      <c r="D274" s="14" t="str">
        <f t="shared" si="20"/>
        <v/>
      </c>
      <c r="E274" s="14" t="str">
        <f t="shared" si="21"/>
        <v/>
      </c>
      <c r="F274" s="14" t="str">
        <f t="shared" si="22"/>
        <v/>
      </c>
    </row>
    <row r="275" spans="1:6">
      <c r="A275" s="7" t="str">
        <f t="shared" si="23"/>
        <v/>
      </c>
      <c r="B275" s="14" t="str">
        <f t="shared" si="18"/>
        <v/>
      </c>
      <c r="C275" s="14" t="str">
        <f t="shared" si="19"/>
        <v/>
      </c>
      <c r="D275" s="14" t="str">
        <f t="shared" si="20"/>
        <v/>
      </c>
      <c r="E275" s="14" t="str">
        <f t="shared" si="21"/>
        <v/>
      </c>
      <c r="F275" s="14" t="str">
        <f t="shared" si="22"/>
        <v/>
      </c>
    </row>
    <row r="276" spans="1:6">
      <c r="A276" s="7" t="str">
        <f t="shared" si="23"/>
        <v/>
      </c>
      <c r="B276" s="14" t="str">
        <f t="shared" ref="B276:B339" si="24">IF(A276&lt;=$E$9,C276+D276,"")</f>
        <v/>
      </c>
      <c r="C276" s="14" t="str">
        <f t="shared" ref="C276:C339" si="25">IF(A276&lt;=$E$9,F275*($E$8/$E$10),"")</f>
        <v/>
      </c>
      <c r="D276" s="14" t="str">
        <f t="shared" ref="D276:D339" si="26">IF(A276&lt;=$E$9,$E$13-C276,"")</f>
        <v/>
      </c>
      <c r="E276" s="14" t="str">
        <f t="shared" ref="E276:E339" si="27">IF(A276&lt;=$E$9,E275+D276,"")</f>
        <v/>
      </c>
      <c r="F276" s="14" t="str">
        <f t="shared" ref="F276:F339" si="28">IF(A276&lt;=$E$9,ROUND(($F$19-E276),2),"")</f>
        <v/>
      </c>
    </row>
    <row r="277" spans="1:6">
      <c r="A277" s="7" t="str">
        <f t="shared" ref="A277:A340" si="29">IF(A276&lt;$E$9,A276+1,"")</f>
        <v/>
      </c>
      <c r="B277" s="14" t="str">
        <f t="shared" si="24"/>
        <v/>
      </c>
      <c r="C277" s="14" t="str">
        <f t="shared" si="25"/>
        <v/>
      </c>
      <c r="D277" s="14" t="str">
        <f t="shared" si="26"/>
        <v/>
      </c>
      <c r="E277" s="14" t="str">
        <f t="shared" si="27"/>
        <v/>
      </c>
      <c r="F277" s="14" t="str">
        <f t="shared" si="28"/>
        <v/>
      </c>
    </row>
    <row r="278" spans="1:6">
      <c r="A278" s="7" t="str">
        <f t="shared" si="29"/>
        <v/>
      </c>
      <c r="B278" s="14" t="str">
        <f t="shared" si="24"/>
        <v/>
      </c>
      <c r="C278" s="14" t="str">
        <f t="shared" si="25"/>
        <v/>
      </c>
      <c r="D278" s="14" t="str">
        <f t="shared" si="26"/>
        <v/>
      </c>
      <c r="E278" s="14" t="str">
        <f t="shared" si="27"/>
        <v/>
      </c>
      <c r="F278" s="14" t="str">
        <f t="shared" si="28"/>
        <v/>
      </c>
    </row>
    <row r="279" spans="1:6">
      <c r="A279" s="7" t="str">
        <f t="shared" si="29"/>
        <v/>
      </c>
      <c r="B279" s="14" t="str">
        <f t="shared" si="24"/>
        <v/>
      </c>
      <c r="C279" s="14" t="str">
        <f t="shared" si="25"/>
        <v/>
      </c>
      <c r="D279" s="14" t="str">
        <f t="shared" si="26"/>
        <v/>
      </c>
      <c r="E279" s="14" t="str">
        <f t="shared" si="27"/>
        <v/>
      </c>
      <c r="F279" s="14" t="str">
        <f t="shared" si="28"/>
        <v/>
      </c>
    </row>
    <row r="280" spans="1:6">
      <c r="A280" s="7" t="str">
        <f t="shared" si="29"/>
        <v/>
      </c>
      <c r="B280" s="14" t="str">
        <f t="shared" si="24"/>
        <v/>
      </c>
      <c r="C280" s="14" t="str">
        <f t="shared" si="25"/>
        <v/>
      </c>
      <c r="D280" s="14" t="str">
        <f t="shared" si="26"/>
        <v/>
      </c>
      <c r="E280" s="14" t="str">
        <f t="shared" si="27"/>
        <v/>
      </c>
      <c r="F280" s="14" t="str">
        <f t="shared" si="28"/>
        <v/>
      </c>
    </row>
    <row r="281" spans="1:6">
      <c r="A281" s="7" t="str">
        <f t="shared" si="29"/>
        <v/>
      </c>
      <c r="B281" s="14" t="str">
        <f t="shared" si="24"/>
        <v/>
      </c>
      <c r="C281" s="14" t="str">
        <f t="shared" si="25"/>
        <v/>
      </c>
      <c r="D281" s="14" t="str">
        <f t="shared" si="26"/>
        <v/>
      </c>
      <c r="E281" s="14" t="str">
        <f t="shared" si="27"/>
        <v/>
      </c>
      <c r="F281" s="14" t="str">
        <f t="shared" si="28"/>
        <v/>
      </c>
    </row>
    <row r="282" spans="1:6">
      <c r="A282" s="7" t="str">
        <f t="shared" si="29"/>
        <v/>
      </c>
      <c r="B282" s="14" t="str">
        <f t="shared" si="24"/>
        <v/>
      </c>
      <c r="C282" s="14" t="str">
        <f t="shared" si="25"/>
        <v/>
      </c>
      <c r="D282" s="14" t="str">
        <f t="shared" si="26"/>
        <v/>
      </c>
      <c r="E282" s="14" t="str">
        <f t="shared" si="27"/>
        <v/>
      </c>
      <c r="F282" s="14" t="str">
        <f t="shared" si="28"/>
        <v/>
      </c>
    </row>
    <row r="283" spans="1:6">
      <c r="A283" s="7" t="str">
        <f t="shared" si="29"/>
        <v/>
      </c>
      <c r="B283" s="14" t="str">
        <f t="shared" si="24"/>
        <v/>
      </c>
      <c r="C283" s="14" t="str">
        <f t="shared" si="25"/>
        <v/>
      </c>
      <c r="D283" s="14" t="str">
        <f t="shared" si="26"/>
        <v/>
      </c>
      <c r="E283" s="14" t="str">
        <f t="shared" si="27"/>
        <v/>
      </c>
      <c r="F283" s="14" t="str">
        <f t="shared" si="28"/>
        <v/>
      </c>
    </row>
    <row r="284" spans="1:6">
      <c r="A284" s="7" t="str">
        <f t="shared" si="29"/>
        <v/>
      </c>
      <c r="B284" s="14" t="str">
        <f t="shared" si="24"/>
        <v/>
      </c>
      <c r="C284" s="14" t="str">
        <f t="shared" si="25"/>
        <v/>
      </c>
      <c r="D284" s="14" t="str">
        <f t="shared" si="26"/>
        <v/>
      </c>
      <c r="E284" s="14" t="str">
        <f t="shared" si="27"/>
        <v/>
      </c>
      <c r="F284" s="14" t="str">
        <f t="shared" si="28"/>
        <v/>
      </c>
    </row>
    <row r="285" spans="1:6">
      <c r="A285" s="7" t="str">
        <f t="shared" si="29"/>
        <v/>
      </c>
      <c r="B285" s="14" t="str">
        <f t="shared" si="24"/>
        <v/>
      </c>
      <c r="C285" s="14" t="str">
        <f t="shared" si="25"/>
        <v/>
      </c>
      <c r="D285" s="14" t="str">
        <f t="shared" si="26"/>
        <v/>
      </c>
      <c r="E285" s="14" t="str">
        <f t="shared" si="27"/>
        <v/>
      </c>
      <c r="F285" s="14" t="str">
        <f t="shared" si="28"/>
        <v/>
      </c>
    </row>
    <row r="286" spans="1:6">
      <c r="A286" s="7" t="str">
        <f t="shared" si="29"/>
        <v/>
      </c>
      <c r="B286" s="14" t="str">
        <f t="shared" si="24"/>
        <v/>
      </c>
      <c r="C286" s="14" t="str">
        <f t="shared" si="25"/>
        <v/>
      </c>
      <c r="D286" s="14" t="str">
        <f t="shared" si="26"/>
        <v/>
      </c>
      <c r="E286" s="14" t="str">
        <f t="shared" si="27"/>
        <v/>
      </c>
      <c r="F286" s="14" t="str">
        <f t="shared" si="28"/>
        <v/>
      </c>
    </row>
    <row r="287" spans="1:6">
      <c r="A287" s="7" t="str">
        <f t="shared" si="29"/>
        <v/>
      </c>
      <c r="B287" s="14" t="str">
        <f t="shared" si="24"/>
        <v/>
      </c>
      <c r="C287" s="14" t="str">
        <f t="shared" si="25"/>
        <v/>
      </c>
      <c r="D287" s="14" t="str">
        <f t="shared" si="26"/>
        <v/>
      </c>
      <c r="E287" s="14" t="str">
        <f t="shared" si="27"/>
        <v/>
      </c>
      <c r="F287" s="14" t="str">
        <f t="shared" si="28"/>
        <v/>
      </c>
    </row>
    <row r="288" spans="1:6">
      <c r="A288" s="7" t="str">
        <f t="shared" si="29"/>
        <v/>
      </c>
      <c r="B288" s="14" t="str">
        <f t="shared" si="24"/>
        <v/>
      </c>
      <c r="C288" s="14" t="str">
        <f t="shared" si="25"/>
        <v/>
      </c>
      <c r="D288" s="14" t="str">
        <f t="shared" si="26"/>
        <v/>
      </c>
      <c r="E288" s="14" t="str">
        <f t="shared" si="27"/>
        <v/>
      </c>
      <c r="F288" s="14" t="str">
        <f t="shared" si="28"/>
        <v/>
      </c>
    </row>
    <row r="289" spans="1:6">
      <c r="A289" s="7" t="str">
        <f t="shared" si="29"/>
        <v/>
      </c>
      <c r="B289" s="14" t="str">
        <f t="shared" si="24"/>
        <v/>
      </c>
      <c r="C289" s="14" t="str">
        <f t="shared" si="25"/>
        <v/>
      </c>
      <c r="D289" s="14" t="str">
        <f t="shared" si="26"/>
        <v/>
      </c>
      <c r="E289" s="14" t="str">
        <f t="shared" si="27"/>
        <v/>
      </c>
      <c r="F289" s="14" t="str">
        <f t="shared" si="28"/>
        <v/>
      </c>
    </row>
    <row r="290" spans="1:6">
      <c r="A290" s="7" t="str">
        <f t="shared" si="29"/>
        <v/>
      </c>
      <c r="B290" s="14" t="str">
        <f t="shared" si="24"/>
        <v/>
      </c>
      <c r="C290" s="14" t="str">
        <f t="shared" si="25"/>
        <v/>
      </c>
      <c r="D290" s="14" t="str">
        <f t="shared" si="26"/>
        <v/>
      </c>
      <c r="E290" s="14" t="str">
        <f t="shared" si="27"/>
        <v/>
      </c>
      <c r="F290" s="14" t="str">
        <f t="shared" si="28"/>
        <v/>
      </c>
    </row>
    <row r="291" spans="1:6">
      <c r="A291" s="7" t="str">
        <f t="shared" si="29"/>
        <v/>
      </c>
      <c r="B291" s="14" t="str">
        <f t="shared" si="24"/>
        <v/>
      </c>
      <c r="C291" s="14" t="str">
        <f t="shared" si="25"/>
        <v/>
      </c>
      <c r="D291" s="14" t="str">
        <f t="shared" si="26"/>
        <v/>
      </c>
      <c r="E291" s="14" t="str">
        <f t="shared" si="27"/>
        <v/>
      </c>
      <c r="F291" s="14" t="str">
        <f t="shared" si="28"/>
        <v/>
      </c>
    </row>
    <row r="292" spans="1:6">
      <c r="A292" s="7" t="str">
        <f t="shared" si="29"/>
        <v/>
      </c>
      <c r="B292" s="14" t="str">
        <f t="shared" si="24"/>
        <v/>
      </c>
      <c r="C292" s="14" t="str">
        <f t="shared" si="25"/>
        <v/>
      </c>
      <c r="D292" s="14" t="str">
        <f t="shared" si="26"/>
        <v/>
      </c>
      <c r="E292" s="14" t="str">
        <f t="shared" si="27"/>
        <v/>
      </c>
      <c r="F292" s="14" t="str">
        <f t="shared" si="28"/>
        <v/>
      </c>
    </row>
    <row r="293" spans="1:6">
      <c r="A293" s="7" t="str">
        <f t="shared" si="29"/>
        <v/>
      </c>
      <c r="B293" s="14" t="str">
        <f t="shared" si="24"/>
        <v/>
      </c>
      <c r="C293" s="14" t="str">
        <f t="shared" si="25"/>
        <v/>
      </c>
      <c r="D293" s="14" t="str">
        <f t="shared" si="26"/>
        <v/>
      </c>
      <c r="E293" s="14" t="str">
        <f t="shared" si="27"/>
        <v/>
      </c>
      <c r="F293" s="14" t="str">
        <f t="shared" si="28"/>
        <v/>
      </c>
    </row>
    <row r="294" spans="1:6">
      <c r="A294" s="7" t="str">
        <f t="shared" si="29"/>
        <v/>
      </c>
      <c r="B294" s="14" t="str">
        <f t="shared" si="24"/>
        <v/>
      </c>
      <c r="C294" s="14" t="str">
        <f t="shared" si="25"/>
        <v/>
      </c>
      <c r="D294" s="14" t="str">
        <f t="shared" si="26"/>
        <v/>
      </c>
      <c r="E294" s="14" t="str">
        <f t="shared" si="27"/>
        <v/>
      </c>
      <c r="F294" s="14" t="str">
        <f t="shared" si="28"/>
        <v/>
      </c>
    </row>
    <row r="295" spans="1:6">
      <c r="A295" s="7" t="str">
        <f t="shared" si="29"/>
        <v/>
      </c>
      <c r="B295" s="14" t="str">
        <f t="shared" si="24"/>
        <v/>
      </c>
      <c r="C295" s="14" t="str">
        <f t="shared" si="25"/>
        <v/>
      </c>
      <c r="D295" s="14" t="str">
        <f t="shared" si="26"/>
        <v/>
      </c>
      <c r="E295" s="14" t="str">
        <f t="shared" si="27"/>
        <v/>
      </c>
      <c r="F295" s="14" t="str">
        <f t="shared" si="28"/>
        <v/>
      </c>
    </row>
    <row r="296" spans="1:6">
      <c r="A296" s="7" t="str">
        <f t="shared" si="29"/>
        <v/>
      </c>
      <c r="B296" s="14" t="str">
        <f t="shared" si="24"/>
        <v/>
      </c>
      <c r="C296" s="14" t="str">
        <f t="shared" si="25"/>
        <v/>
      </c>
      <c r="D296" s="14" t="str">
        <f t="shared" si="26"/>
        <v/>
      </c>
      <c r="E296" s="14" t="str">
        <f t="shared" si="27"/>
        <v/>
      </c>
      <c r="F296" s="14" t="str">
        <f t="shared" si="28"/>
        <v/>
      </c>
    </row>
    <row r="297" spans="1:6">
      <c r="A297" s="7" t="str">
        <f t="shared" si="29"/>
        <v/>
      </c>
      <c r="B297" s="14" t="str">
        <f t="shared" si="24"/>
        <v/>
      </c>
      <c r="C297" s="14" t="str">
        <f t="shared" si="25"/>
        <v/>
      </c>
      <c r="D297" s="14" t="str">
        <f t="shared" si="26"/>
        <v/>
      </c>
      <c r="E297" s="14" t="str">
        <f t="shared" si="27"/>
        <v/>
      </c>
      <c r="F297" s="14" t="str">
        <f t="shared" si="28"/>
        <v/>
      </c>
    </row>
    <row r="298" spans="1:6">
      <c r="A298" s="7" t="str">
        <f t="shared" si="29"/>
        <v/>
      </c>
      <c r="B298" s="14" t="str">
        <f t="shared" si="24"/>
        <v/>
      </c>
      <c r="C298" s="14" t="str">
        <f t="shared" si="25"/>
        <v/>
      </c>
      <c r="D298" s="14" t="str">
        <f t="shared" si="26"/>
        <v/>
      </c>
      <c r="E298" s="14" t="str">
        <f t="shared" si="27"/>
        <v/>
      </c>
      <c r="F298" s="14" t="str">
        <f t="shared" si="28"/>
        <v/>
      </c>
    </row>
    <row r="299" spans="1:6">
      <c r="A299" s="7" t="str">
        <f t="shared" si="29"/>
        <v/>
      </c>
      <c r="B299" s="14" t="str">
        <f t="shared" si="24"/>
        <v/>
      </c>
      <c r="C299" s="14" t="str">
        <f t="shared" si="25"/>
        <v/>
      </c>
      <c r="D299" s="14" t="str">
        <f t="shared" si="26"/>
        <v/>
      </c>
      <c r="E299" s="14" t="str">
        <f t="shared" si="27"/>
        <v/>
      </c>
      <c r="F299" s="14" t="str">
        <f t="shared" si="28"/>
        <v/>
      </c>
    </row>
    <row r="300" spans="1:6">
      <c r="A300" s="7" t="str">
        <f t="shared" si="29"/>
        <v/>
      </c>
      <c r="B300" s="14" t="str">
        <f t="shared" si="24"/>
        <v/>
      </c>
      <c r="C300" s="14" t="str">
        <f t="shared" si="25"/>
        <v/>
      </c>
      <c r="D300" s="14" t="str">
        <f t="shared" si="26"/>
        <v/>
      </c>
      <c r="E300" s="14" t="str">
        <f t="shared" si="27"/>
        <v/>
      </c>
      <c r="F300" s="14" t="str">
        <f t="shared" si="28"/>
        <v/>
      </c>
    </row>
    <row r="301" spans="1:6">
      <c r="A301" s="7" t="str">
        <f t="shared" si="29"/>
        <v/>
      </c>
      <c r="B301" s="14" t="str">
        <f t="shared" si="24"/>
        <v/>
      </c>
      <c r="C301" s="14" t="str">
        <f t="shared" si="25"/>
        <v/>
      </c>
      <c r="D301" s="14" t="str">
        <f t="shared" si="26"/>
        <v/>
      </c>
      <c r="E301" s="14" t="str">
        <f t="shared" si="27"/>
        <v/>
      </c>
      <c r="F301" s="14" t="str">
        <f t="shared" si="28"/>
        <v/>
      </c>
    </row>
    <row r="302" spans="1:6">
      <c r="A302" s="7" t="str">
        <f t="shared" si="29"/>
        <v/>
      </c>
      <c r="B302" s="14" t="str">
        <f t="shared" si="24"/>
        <v/>
      </c>
      <c r="C302" s="14" t="str">
        <f t="shared" si="25"/>
        <v/>
      </c>
      <c r="D302" s="14" t="str">
        <f t="shared" si="26"/>
        <v/>
      </c>
      <c r="E302" s="14" t="str">
        <f t="shared" si="27"/>
        <v/>
      </c>
      <c r="F302" s="14" t="str">
        <f t="shared" si="28"/>
        <v/>
      </c>
    </row>
    <row r="303" spans="1:6">
      <c r="A303" s="7" t="str">
        <f t="shared" si="29"/>
        <v/>
      </c>
      <c r="B303" s="14" t="str">
        <f t="shared" si="24"/>
        <v/>
      </c>
      <c r="C303" s="14" t="str">
        <f t="shared" si="25"/>
        <v/>
      </c>
      <c r="D303" s="14" t="str">
        <f t="shared" si="26"/>
        <v/>
      </c>
      <c r="E303" s="14" t="str">
        <f t="shared" si="27"/>
        <v/>
      </c>
      <c r="F303" s="14" t="str">
        <f t="shared" si="28"/>
        <v/>
      </c>
    </row>
    <row r="304" spans="1:6">
      <c r="A304" s="7" t="str">
        <f t="shared" si="29"/>
        <v/>
      </c>
      <c r="B304" s="14" t="str">
        <f t="shared" si="24"/>
        <v/>
      </c>
      <c r="C304" s="14" t="str">
        <f t="shared" si="25"/>
        <v/>
      </c>
      <c r="D304" s="14" t="str">
        <f t="shared" si="26"/>
        <v/>
      </c>
      <c r="E304" s="14" t="str">
        <f t="shared" si="27"/>
        <v/>
      </c>
      <c r="F304" s="14" t="str">
        <f t="shared" si="28"/>
        <v/>
      </c>
    </row>
    <row r="305" spans="1:6">
      <c r="A305" s="7" t="str">
        <f t="shared" si="29"/>
        <v/>
      </c>
      <c r="B305" s="14" t="str">
        <f t="shared" si="24"/>
        <v/>
      </c>
      <c r="C305" s="14" t="str">
        <f t="shared" si="25"/>
        <v/>
      </c>
      <c r="D305" s="14" t="str">
        <f t="shared" si="26"/>
        <v/>
      </c>
      <c r="E305" s="14" t="str">
        <f t="shared" si="27"/>
        <v/>
      </c>
      <c r="F305" s="14" t="str">
        <f t="shared" si="28"/>
        <v/>
      </c>
    </row>
    <row r="306" spans="1:6">
      <c r="A306" s="7" t="str">
        <f t="shared" si="29"/>
        <v/>
      </c>
      <c r="B306" s="14" t="str">
        <f t="shared" si="24"/>
        <v/>
      </c>
      <c r="C306" s="14" t="str">
        <f t="shared" si="25"/>
        <v/>
      </c>
      <c r="D306" s="14" t="str">
        <f t="shared" si="26"/>
        <v/>
      </c>
      <c r="E306" s="14" t="str">
        <f t="shared" si="27"/>
        <v/>
      </c>
      <c r="F306" s="14" t="str">
        <f t="shared" si="28"/>
        <v/>
      </c>
    </row>
    <row r="307" spans="1:6">
      <c r="A307" s="7" t="str">
        <f t="shared" si="29"/>
        <v/>
      </c>
      <c r="B307" s="14" t="str">
        <f t="shared" si="24"/>
        <v/>
      </c>
      <c r="C307" s="14" t="str">
        <f t="shared" si="25"/>
        <v/>
      </c>
      <c r="D307" s="14" t="str">
        <f t="shared" si="26"/>
        <v/>
      </c>
      <c r="E307" s="14" t="str">
        <f t="shared" si="27"/>
        <v/>
      </c>
      <c r="F307" s="14" t="str">
        <f t="shared" si="28"/>
        <v/>
      </c>
    </row>
    <row r="308" spans="1:6">
      <c r="A308" s="7" t="str">
        <f t="shared" si="29"/>
        <v/>
      </c>
      <c r="B308" s="14" t="str">
        <f t="shared" si="24"/>
        <v/>
      </c>
      <c r="C308" s="14" t="str">
        <f t="shared" si="25"/>
        <v/>
      </c>
      <c r="D308" s="14" t="str">
        <f t="shared" si="26"/>
        <v/>
      </c>
      <c r="E308" s="14" t="str">
        <f t="shared" si="27"/>
        <v/>
      </c>
      <c r="F308" s="14" t="str">
        <f t="shared" si="28"/>
        <v/>
      </c>
    </row>
    <row r="309" spans="1:6">
      <c r="A309" s="7" t="str">
        <f t="shared" si="29"/>
        <v/>
      </c>
      <c r="B309" s="14" t="str">
        <f t="shared" si="24"/>
        <v/>
      </c>
      <c r="C309" s="14" t="str">
        <f t="shared" si="25"/>
        <v/>
      </c>
      <c r="D309" s="14" t="str">
        <f t="shared" si="26"/>
        <v/>
      </c>
      <c r="E309" s="14" t="str">
        <f t="shared" si="27"/>
        <v/>
      </c>
      <c r="F309" s="14" t="str">
        <f t="shared" si="28"/>
        <v/>
      </c>
    </row>
    <row r="310" spans="1:6">
      <c r="A310" s="7" t="str">
        <f t="shared" si="29"/>
        <v/>
      </c>
      <c r="B310" s="14" t="str">
        <f t="shared" si="24"/>
        <v/>
      </c>
      <c r="C310" s="14" t="str">
        <f t="shared" si="25"/>
        <v/>
      </c>
      <c r="D310" s="14" t="str">
        <f t="shared" si="26"/>
        <v/>
      </c>
      <c r="E310" s="14" t="str">
        <f t="shared" si="27"/>
        <v/>
      </c>
      <c r="F310" s="14" t="str">
        <f t="shared" si="28"/>
        <v/>
      </c>
    </row>
    <row r="311" spans="1:6">
      <c r="A311" s="7" t="str">
        <f t="shared" si="29"/>
        <v/>
      </c>
      <c r="B311" s="14" t="str">
        <f t="shared" si="24"/>
        <v/>
      </c>
      <c r="C311" s="14" t="str">
        <f t="shared" si="25"/>
        <v/>
      </c>
      <c r="D311" s="14" t="str">
        <f t="shared" si="26"/>
        <v/>
      </c>
      <c r="E311" s="14" t="str">
        <f t="shared" si="27"/>
        <v/>
      </c>
      <c r="F311" s="14" t="str">
        <f t="shared" si="28"/>
        <v/>
      </c>
    </row>
    <row r="312" spans="1:6">
      <c r="A312" s="7" t="str">
        <f t="shared" si="29"/>
        <v/>
      </c>
      <c r="B312" s="14" t="str">
        <f t="shared" si="24"/>
        <v/>
      </c>
      <c r="C312" s="14" t="str">
        <f t="shared" si="25"/>
        <v/>
      </c>
      <c r="D312" s="14" t="str">
        <f t="shared" si="26"/>
        <v/>
      </c>
      <c r="E312" s="14" t="str">
        <f t="shared" si="27"/>
        <v/>
      </c>
      <c r="F312" s="14" t="str">
        <f t="shared" si="28"/>
        <v/>
      </c>
    </row>
    <row r="313" spans="1:6">
      <c r="A313" s="7" t="str">
        <f t="shared" si="29"/>
        <v/>
      </c>
      <c r="B313" s="14" t="str">
        <f t="shared" si="24"/>
        <v/>
      </c>
      <c r="C313" s="14" t="str">
        <f t="shared" si="25"/>
        <v/>
      </c>
      <c r="D313" s="14" t="str">
        <f t="shared" si="26"/>
        <v/>
      </c>
      <c r="E313" s="14" t="str">
        <f t="shared" si="27"/>
        <v/>
      </c>
      <c r="F313" s="14" t="str">
        <f t="shared" si="28"/>
        <v/>
      </c>
    </row>
    <row r="314" spans="1:6">
      <c r="A314" s="7" t="str">
        <f t="shared" si="29"/>
        <v/>
      </c>
      <c r="B314" s="14" t="str">
        <f t="shared" si="24"/>
        <v/>
      </c>
      <c r="C314" s="14" t="str">
        <f t="shared" si="25"/>
        <v/>
      </c>
      <c r="D314" s="14" t="str">
        <f t="shared" si="26"/>
        <v/>
      </c>
      <c r="E314" s="14" t="str">
        <f t="shared" si="27"/>
        <v/>
      </c>
      <c r="F314" s="14" t="str">
        <f t="shared" si="28"/>
        <v/>
      </c>
    </row>
    <row r="315" spans="1:6">
      <c r="A315" s="7" t="str">
        <f t="shared" si="29"/>
        <v/>
      </c>
      <c r="B315" s="14" t="str">
        <f t="shared" si="24"/>
        <v/>
      </c>
      <c r="C315" s="14" t="str">
        <f t="shared" si="25"/>
        <v/>
      </c>
      <c r="D315" s="14" t="str">
        <f t="shared" si="26"/>
        <v/>
      </c>
      <c r="E315" s="14" t="str">
        <f t="shared" si="27"/>
        <v/>
      </c>
      <c r="F315" s="14" t="str">
        <f t="shared" si="28"/>
        <v/>
      </c>
    </row>
    <row r="316" spans="1:6">
      <c r="A316" s="7" t="str">
        <f t="shared" si="29"/>
        <v/>
      </c>
      <c r="B316" s="14" t="str">
        <f t="shared" si="24"/>
        <v/>
      </c>
      <c r="C316" s="14" t="str">
        <f t="shared" si="25"/>
        <v/>
      </c>
      <c r="D316" s="14" t="str">
        <f t="shared" si="26"/>
        <v/>
      </c>
      <c r="E316" s="14" t="str">
        <f t="shared" si="27"/>
        <v/>
      </c>
      <c r="F316" s="14" t="str">
        <f t="shared" si="28"/>
        <v/>
      </c>
    </row>
    <row r="317" spans="1:6">
      <c r="A317" s="7" t="str">
        <f t="shared" si="29"/>
        <v/>
      </c>
      <c r="B317" s="14" t="str">
        <f t="shared" si="24"/>
        <v/>
      </c>
      <c r="C317" s="14" t="str">
        <f t="shared" si="25"/>
        <v/>
      </c>
      <c r="D317" s="14" t="str">
        <f t="shared" si="26"/>
        <v/>
      </c>
      <c r="E317" s="14" t="str">
        <f t="shared" si="27"/>
        <v/>
      </c>
      <c r="F317" s="14" t="str">
        <f t="shared" si="28"/>
        <v/>
      </c>
    </row>
    <row r="318" spans="1:6">
      <c r="A318" s="7" t="str">
        <f t="shared" si="29"/>
        <v/>
      </c>
      <c r="B318" s="14" t="str">
        <f t="shared" si="24"/>
        <v/>
      </c>
      <c r="C318" s="14" t="str">
        <f t="shared" si="25"/>
        <v/>
      </c>
      <c r="D318" s="14" t="str">
        <f t="shared" si="26"/>
        <v/>
      </c>
      <c r="E318" s="14" t="str">
        <f t="shared" si="27"/>
        <v/>
      </c>
      <c r="F318" s="14" t="str">
        <f t="shared" si="28"/>
        <v/>
      </c>
    </row>
    <row r="319" spans="1:6">
      <c r="A319" s="7" t="str">
        <f t="shared" si="29"/>
        <v/>
      </c>
      <c r="B319" s="14" t="str">
        <f t="shared" si="24"/>
        <v/>
      </c>
      <c r="C319" s="14" t="str">
        <f t="shared" si="25"/>
        <v/>
      </c>
      <c r="D319" s="14" t="str">
        <f t="shared" si="26"/>
        <v/>
      </c>
      <c r="E319" s="14" t="str">
        <f t="shared" si="27"/>
        <v/>
      </c>
      <c r="F319" s="14" t="str">
        <f t="shared" si="28"/>
        <v/>
      </c>
    </row>
    <row r="320" spans="1:6">
      <c r="A320" s="7" t="str">
        <f t="shared" si="29"/>
        <v/>
      </c>
      <c r="B320" s="14" t="str">
        <f t="shared" si="24"/>
        <v/>
      </c>
      <c r="C320" s="14" t="str">
        <f t="shared" si="25"/>
        <v/>
      </c>
      <c r="D320" s="14" t="str">
        <f t="shared" si="26"/>
        <v/>
      </c>
      <c r="E320" s="14" t="str">
        <f t="shared" si="27"/>
        <v/>
      </c>
      <c r="F320" s="14" t="str">
        <f t="shared" si="28"/>
        <v/>
      </c>
    </row>
    <row r="321" spans="1:6">
      <c r="A321" s="7" t="str">
        <f t="shared" si="29"/>
        <v/>
      </c>
      <c r="B321" s="14" t="str">
        <f t="shared" si="24"/>
        <v/>
      </c>
      <c r="C321" s="14" t="str">
        <f t="shared" si="25"/>
        <v/>
      </c>
      <c r="D321" s="14" t="str">
        <f t="shared" si="26"/>
        <v/>
      </c>
      <c r="E321" s="14" t="str">
        <f t="shared" si="27"/>
        <v/>
      </c>
      <c r="F321" s="14" t="str">
        <f t="shared" si="28"/>
        <v/>
      </c>
    </row>
    <row r="322" spans="1:6">
      <c r="A322" s="7" t="str">
        <f t="shared" si="29"/>
        <v/>
      </c>
      <c r="B322" s="14" t="str">
        <f t="shared" si="24"/>
        <v/>
      </c>
      <c r="C322" s="14" t="str">
        <f t="shared" si="25"/>
        <v/>
      </c>
      <c r="D322" s="14" t="str">
        <f t="shared" si="26"/>
        <v/>
      </c>
      <c r="E322" s="14" t="str">
        <f t="shared" si="27"/>
        <v/>
      </c>
      <c r="F322" s="14" t="str">
        <f t="shared" si="28"/>
        <v/>
      </c>
    </row>
    <row r="323" spans="1:6">
      <c r="A323" s="7" t="str">
        <f t="shared" si="29"/>
        <v/>
      </c>
      <c r="B323" s="14" t="str">
        <f t="shared" si="24"/>
        <v/>
      </c>
      <c r="C323" s="14" t="str">
        <f t="shared" si="25"/>
        <v/>
      </c>
      <c r="D323" s="14" t="str">
        <f t="shared" si="26"/>
        <v/>
      </c>
      <c r="E323" s="14" t="str">
        <f t="shared" si="27"/>
        <v/>
      </c>
      <c r="F323" s="14" t="str">
        <f t="shared" si="28"/>
        <v/>
      </c>
    </row>
    <row r="324" spans="1:6">
      <c r="A324" s="7" t="str">
        <f t="shared" si="29"/>
        <v/>
      </c>
      <c r="B324" s="14" t="str">
        <f t="shared" si="24"/>
        <v/>
      </c>
      <c r="C324" s="14" t="str">
        <f t="shared" si="25"/>
        <v/>
      </c>
      <c r="D324" s="14" t="str">
        <f t="shared" si="26"/>
        <v/>
      </c>
      <c r="E324" s="14" t="str">
        <f t="shared" si="27"/>
        <v/>
      </c>
      <c r="F324" s="14" t="str">
        <f t="shared" si="28"/>
        <v/>
      </c>
    </row>
    <row r="325" spans="1:6">
      <c r="A325" s="7" t="str">
        <f t="shared" si="29"/>
        <v/>
      </c>
      <c r="B325" s="14" t="str">
        <f t="shared" si="24"/>
        <v/>
      </c>
      <c r="C325" s="14" t="str">
        <f t="shared" si="25"/>
        <v/>
      </c>
      <c r="D325" s="14" t="str">
        <f t="shared" si="26"/>
        <v/>
      </c>
      <c r="E325" s="14" t="str">
        <f t="shared" si="27"/>
        <v/>
      </c>
      <c r="F325" s="14" t="str">
        <f t="shared" si="28"/>
        <v/>
      </c>
    </row>
    <row r="326" spans="1:6">
      <c r="A326" s="7" t="str">
        <f t="shared" si="29"/>
        <v/>
      </c>
      <c r="B326" s="14" t="str">
        <f t="shared" si="24"/>
        <v/>
      </c>
      <c r="C326" s="14" t="str">
        <f t="shared" si="25"/>
        <v/>
      </c>
      <c r="D326" s="14" t="str">
        <f t="shared" si="26"/>
        <v/>
      </c>
      <c r="E326" s="14" t="str">
        <f t="shared" si="27"/>
        <v/>
      </c>
      <c r="F326" s="14" t="str">
        <f t="shared" si="28"/>
        <v/>
      </c>
    </row>
    <row r="327" spans="1:6">
      <c r="A327" s="7" t="str">
        <f t="shared" si="29"/>
        <v/>
      </c>
      <c r="B327" s="14" t="str">
        <f t="shared" si="24"/>
        <v/>
      </c>
      <c r="C327" s="14" t="str">
        <f t="shared" si="25"/>
        <v/>
      </c>
      <c r="D327" s="14" t="str">
        <f t="shared" si="26"/>
        <v/>
      </c>
      <c r="E327" s="14" t="str">
        <f t="shared" si="27"/>
        <v/>
      </c>
      <c r="F327" s="14" t="str">
        <f t="shared" si="28"/>
        <v/>
      </c>
    </row>
    <row r="328" spans="1:6">
      <c r="A328" s="7" t="str">
        <f t="shared" si="29"/>
        <v/>
      </c>
      <c r="B328" s="14" t="str">
        <f t="shared" si="24"/>
        <v/>
      </c>
      <c r="C328" s="14" t="str">
        <f t="shared" si="25"/>
        <v/>
      </c>
      <c r="D328" s="14" t="str">
        <f t="shared" si="26"/>
        <v/>
      </c>
      <c r="E328" s="14" t="str">
        <f t="shared" si="27"/>
        <v/>
      </c>
      <c r="F328" s="14" t="str">
        <f t="shared" si="28"/>
        <v/>
      </c>
    </row>
    <row r="329" spans="1:6">
      <c r="A329" s="7" t="str">
        <f t="shared" si="29"/>
        <v/>
      </c>
      <c r="B329" s="14" t="str">
        <f t="shared" si="24"/>
        <v/>
      </c>
      <c r="C329" s="14" t="str">
        <f t="shared" si="25"/>
        <v/>
      </c>
      <c r="D329" s="14" t="str">
        <f t="shared" si="26"/>
        <v/>
      </c>
      <c r="E329" s="14" t="str">
        <f t="shared" si="27"/>
        <v/>
      </c>
      <c r="F329" s="14" t="str">
        <f t="shared" si="28"/>
        <v/>
      </c>
    </row>
    <row r="330" spans="1:6">
      <c r="A330" s="7" t="str">
        <f t="shared" si="29"/>
        <v/>
      </c>
      <c r="B330" s="14" t="str">
        <f t="shared" si="24"/>
        <v/>
      </c>
      <c r="C330" s="14" t="str">
        <f t="shared" si="25"/>
        <v/>
      </c>
      <c r="D330" s="14" t="str">
        <f t="shared" si="26"/>
        <v/>
      </c>
      <c r="E330" s="14" t="str">
        <f t="shared" si="27"/>
        <v/>
      </c>
      <c r="F330" s="14" t="str">
        <f t="shared" si="28"/>
        <v/>
      </c>
    </row>
    <row r="331" spans="1:6">
      <c r="A331" s="7" t="str">
        <f t="shared" si="29"/>
        <v/>
      </c>
      <c r="B331" s="14" t="str">
        <f t="shared" si="24"/>
        <v/>
      </c>
      <c r="C331" s="14" t="str">
        <f t="shared" si="25"/>
        <v/>
      </c>
      <c r="D331" s="14" t="str">
        <f t="shared" si="26"/>
        <v/>
      </c>
      <c r="E331" s="14" t="str">
        <f t="shared" si="27"/>
        <v/>
      </c>
      <c r="F331" s="14" t="str">
        <f t="shared" si="28"/>
        <v/>
      </c>
    </row>
    <row r="332" spans="1:6">
      <c r="A332" s="7" t="str">
        <f t="shared" si="29"/>
        <v/>
      </c>
      <c r="B332" s="14" t="str">
        <f t="shared" si="24"/>
        <v/>
      </c>
      <c r="C332" s="14" t="str">
        <f t="shared" si="25"/>
        <v/>
      </c>
      <c r="D332" s="14" t="str">
        <f t="shared" si="26"/>
        <v/>
      </c>
      <c r="E332" s="14" t="str">
        <f t="shared" si="27"/>
        <v/>
      </c>
      <c r="F332" s="14" t="str">
        <f t="shared" si="28"/>
        <v/>
      </c>
    </row>
    <row r="333" spans="1:6">
      <c r="A333" s="7" t="str">
        <f t="shared" si="29"/>
        <v/>
      </c>
      <c r="B333" s="14" t="str">
        <f t="shared" si="24"/>
        <v/>
      </c>
      <c r="C333" s="14" t="str">
        <f t="shared" si="25"/>
        <v/>
      </c>
      <c r="D333" s="14" t="str">
        <f t="shared" si="26"/>
        <v/>
      </c>
      <c r="E333" s="14" t="str">
        <f t="shared" si="27"/>
        <v/>
      </c>
      <c r="F333" s="14" t="str">
        <f t="shared" si="28"/>
        <v/>
      </c>
    </row>
    <row r="334" spans="1:6">
      <c r="A334" s="7" t="str">
        <f t="shared" si="29"/>
        <v/>
      </c>
      <c r="B334" s="14" t="str">
        <f t="shared" si="24"/>
        <v/>
      </c>
      <c r="C334" s="14" t="str">
        <f t="shared" si="25"/>
        <v/>
      </c>
      <c r="D334" s="14" t="str">
        <f t="shared" si="26"/>
        <v/>
      </c>
      <c r="E334" s="14" t="str">
        <f t="shared" si="27"/>
        <v/>
      </c>
      <c r="F334" s="14" t="str">
        <f t="shared" si="28"/>
        <v/>
      </c>
    </row>
    <row r="335" spans="1:6">
      <c r="A335" s="7" t="str">
        <f t="shared" si="29"/>
        <v/>
      </c>
      <c r="B335" s="14" t="str">
        <f t="shared" si="24"/>
        <v/>
      </c>
      <c r="C335" s="14" t="str">
        <f t="shared" si="25"/>
        <v/>
      </c>
      <c r="D335" s="14" t="str">
        <f t="shared" si="26"/>
        <v/>
      </c>
      <c r="E335" s="14" t="str">
        <f t="shared" si="27"/>
        <v/>
      </c>
      <c r="F335" s="14" t="str">
        <f t="shared" si="28"/>
        <v/>
      </c>
    </row>
    <row r="336" spans="1:6">
      <c r="A336" s="7" t="str">
        <f t="shared" si="29"/>
        <v/>
      </c>
      <c r="B336" s="14" t="str">
        <f t="shared" si="24"/>
        <v/>
      </c>
      <c r="C336" s="14" t="str">
        <f t="shared" si="25"/>
        <v/>
      </c>
      <c r="D336" s="14" t="str">
        <f t="shared" si="26"/>
        <v/>
      </c>
      <c r="E336" s="14" t="str">
        <f t="shared" si="27"/>
        <v/>
      </c>
      <c r="F336" s="14" t="str">
        <f t="shared" si="28"/>
        <v/>
      </c>
    </row>
    <row r="337" spans="1:6">
      <c r="A337" s="7" t="str">
        <f t="shared" si="29"/>
        <v/>
      </c>
      <c r="B337" s="14" t="str">
        <f t="shared" si="24"/>
        <v/>
      </c>
      <c r="C337" s="14" t="str">
        <f t="shared" si="25"/>
        <v/>
      </c>
      <c r="D337" s="14" t="str">
        <f t="shared" si="26"/>
        <v/>
      </c>
      <c r="E337" s="14" t="str">
        <f t="shared" si="27"/>
        <v/>
      </c>
      <c r="F337" s="14" t="str">
        <f t="shared" si="28"/>
        <v/>
      </c>
    </row>
    <row r="338" spans="1:6">
      <c r="A338" s="7" t="str">
        <f t="shared" si="29"/>
        <v/>
      </c>
      <c r="B338" s="14" t="str">
        <f t="shared" si="24"/>
        <v/>
      </c>
      <c r="C338" s="14" t="str">
        <f t="shared" si="25"/>
        <v/>
      </c>
      <c r="D338" s="14" t="str">
        <f t="shared" si="26"/>
        <v/>
      </c>
      <c r="E338" s="14" t="str">
        <f t="shared" si="27"/>
        <v/>
      </c>
      <c r="F338" s="14" t="str">
        <f t="shared" si="28"/>
        <v/>
      </c>
    </row>
    <row r="339" spans="1:6">
      <c r="A339" s="7" t="str">
        <f t="shared" si="29"/>
        <v/>
      </c>
      <c r="B339" s="14" t="str">
        <f t="shared" si="24"/>
        <v/>
      </c>
      <c r="C339" s="14" t="str">
        <f t="shared" si="25"/>
        <v/>
      </c>
      <c r="D339" s="14" t="str">
        <f t="shared" si="26"/>
        <v/>
      </c>
      <c r="E339" s="14" t="str">
        <f t="shared" si="27"/>
        <v/>
      </c>
      <c r="F339" s="14" t="str">
        <f t="shared" si="28"/>
        <v/>
      </c>
    </row>
    <row r="340" spans="1:6">
      <c r="A340" s="7" t="str">
        <f t="shared" si="29"/>
        <v/>
      </c>
      <c r="B340" s="14" t="str">
        <f t="shared" ref="B340:B379" si="30">IF(A340&lt;=$E$9,C340+D340,"")</f>
        <v/>
      </c>
      <c r="C340" s="14" t="str">
        <f t="shared" ref="C340:C379" si="31">IF(A340&lt;=$E$9,F339*($E$8/$E$10),"")</f>
        <v/>
      </c>
      <c r="D340" s="14" t="str">
        <f t="shared" ref="D340:D379" si="32">IF(A340&lt;=$E$9,$E$13-C340,"")</f>
        <v/>
      </c>
      <c r="E340" s="14" t="str">
        <f t="shared" ref="E340:E379" si="33">IF(A340&lt;=$E$9,E339+D340,"")</f>
        <v/>
      </c>
      <c r="F340" s="14" t="str">
        <f t="shared" ref="F340:F379" si="34">IF(A340&lt;=$E$9,ROUND(($F$19-E340),2),"")</f>
        <v/>
      </c>
    </row>
    <row r="341" spans="1:6">
      <c r="A341" s="7" t="str">
        <f t="shared" ref="A341:A379" si="35">IF(A340&lt;$E$9,A340+1,"")</f>
        <v/>
      </c>
      <c r="B341" s="14" t="str">
        <f t="shared" si="30"/>
        <v/>
      </c>
      <c r="C341" s="14" t="str">
        <f t="shared" si="31"/>
        <v/>
      </c>
      <c r="D341" s="14" t="str">
        <f t="shared" si="32"/>
        <v/>
      </c>
      <c r="E341" s="14" t="str">
        <f t="shared" si="33"/>
        <v/>
      </c>
      <c r="F341" s="14" t="str">
        <f t="shared" si="34"/>
        <v/>
      </c>
    </row>
    <row r="342" spans="1:6">
      <c r="A342" s="7" t="str">
        <f t="shared" si="35"/>
        <v/>
      </c>
      <c r="B342" s="14" t="str">
        <f t="shared" si="30"/>
        <v/>
      </c>
      <c r="C342" s="14" t="str">
        <f t="shared" si="31"/>
        <v/>
      </c>
      <c r="D342" s="14" t="str">
        <f t="shared" si="32"/>
        <v/>
      </c>
      <c r="E342" s="14" t="str">
        <f t="shared" si="33"/>
        <v/>
      </c>
      <c r="F342" s="14" t="str">
        <f t="shared" si="34"/>
        <v/>
      </c>
    </row>
    <row r="343" spans="1:6">
      <c r="A343" s="7" t="str">
        <f t="shared" si="35"/>
        <v/>
      </c>
      <c r="B343" s="14" t="str">
        <f t="shared" si="30"/>
        <v/>
      </c>
      <c r="C343" s="14" t="str">
        <f t="shared" si="31"/>
        <v/>
      </c>
      <c r="D343" s="14" t="str">
        <f t="shared" si="32"/>
        <v/>
      </c>
      <c r="E343" s="14" t="str">
        <f t="shared" si="33"/>
        <v/>
      </c>
      <c r="F343" s="14" t="str">
        <f t="shared" si="34"/>
        <v/>
      </c>
    </row>
    <row r="344" spans="1:6">
      <c r="A344" s="7" t="str">
        <f t="shared" si="35"/>
        <v/>
      </c>
      <c r="B344" s="14" t="str">
        <f t="shared" si="30"/>
        <v/>
      </c>
      <c r="C344" s="14" t="str">
        <f t="shared" si="31"/>
        <v/>
      </c>
      <c r="D344" s="14" t="str">
        <f t="shared" si="32"/>
        <v/>
      </c>
      <c r="E344" s="14" t="str">
        <f t="shared" si="33"/>
        <v/>
      </c>
      <c r="F344" s="14" t="str">
        <f t="shared" si="34"/>
        <v/>
      </c>
    </row>
    <row r="345" spans="1:6">
      <c r="A345" s="7" t="str">
        <f t="shared" si="35"/>
        <v/>
      </c>
      <c r="B345" s="14" t="str">
        <f t="shared" si="30"/>
        <v/>
      </c>
      <c r="C345" s="14" t="str">
        <f t="shared" si="31"/>
        <v/>
      </c>
      <c r="D345" s="14" t="str">
        <f t="shared" si="32"/>
        <v/>
      </c>
      <c r="E345" s="14" t="str">
        <f t="shared" si="33"/>
        <v/>
      </c>
      <c r="F345" s="14" t="str">
        <f t="shared" si="34"/>
        <v/>
      </c>
    </row>
    <row r="346" spans="1:6">
      <c r="A346" s="7" t="str">
        <f t="shared" si="35"/>
        <v/>
      </c>
      <c r="B346" s="14" t="str">
        <f t="shared" si="30"/>
        <v/>
      </c>
      <c r="C346" s="14" t="str">
        <f t="shared" si="31"/>
        <v/>
      </c>
      <c r="D346" s="14" t="str">
        <f t="shared" si="32"/>
        <v/>
      </c>
      <c r="E346" s="14" t="str">
        <f t="shared" si="33"/>
        <v/>
      </c>
      <c r="F346" s="14" t="str">
        <f t="shared" si="34"/>
        <v/>
      </c>
    </row>
    <row r="347" spans="1:6">
      <c r="A347" s="7" t="str">
        <f t="shared" si="35"/>
        <v/>
      </c>
      <c r="B347" s="14" t="str">
        <f t="shared" si="30"/>
        <v/>
      </c>
      <c r="C347" s="14" t="str">
        <f t="shared" si="31"/>
        <v/>
      </c>
      <c r="D347" s="14" t="str">
        <f t="shared" si="32"/>
        <v/>
      </c>
      <c r="E347" s="14" t="str">
        <f t="shared" si="33"/>
        <v/>
      </c>
      <c r="F347" s="14" t="str">
        <f t="shared" si="34"/>
        <v/>
      </c>
    </row>
    <row r="348" spans="1:6">
      <c r="A348" s="7" t="str">
        <f t="shared" si="35"/>
        <v/>
      </c>
      <c r="B348" s="14" t="str">
        <f t="shared" si="30"/>
        <v/>
      </c>
      <c r="C348" s="14" t="str">
        <f t="shared" si="31"/>
        <v/>
      </c>
      <c r="D348" s="14" t="str">
        <f t="shared" si="32"/>
        <v/>
      </c>
      <c r="E348" s="14" t="str">
        <f t="shared" si="33"/>
        <v/>
      </c>
      <c r="F348" s="14" t="str">
        <f t="shared" si="34"/>
        <v/>
      </c>
    </row>
    <row r="349" spans="1:6">
      <c r="A349" s="7" t="str">
        <f t="shared" si="35"/>
        <v/>
      </c>
      <c r="B349" s="14" t="str">
        <f t="shared" si="30"/>
        <v/>
      </c>
      <c r="C349" s="14" t="str">
        <f t="shared" si="31"/>
        <v/>
      </c>
      <c r="D349" s="14" t="str">
        <f t="shared" si="32"/>
        <v/>
      </c>
      <c r="E349" s="14" t="str">
        <f t="shared" si="33"/>
        <v/>
      </c>
      <c r="F349" s="14" t="str">
        <f t="shared" si="34"/>
        <v/>
      </c>
    </row>
    <row r="350" spans="1:6">
      <c r="A350" s="7" t="str">
        <f t="shared" si="35"/>
        <v/>
      </c>
      <c r="B350" s="14" t="str">
        <f t="shared" si="30"/>
        <v/>
      </c>
      <c r="C350" s="14" t="str">
        <f t="shared" si="31"/>
        <v/>
      </c>
      <c r="D350" s="14" t="str">
        <f t="shared" si="32"/>
        <v/>
      </c>
      <c r="E350" s="14" t="str">
        <f t="shared" si="33"/>
        <v/>
      </c>
      <c r="F350" s="14" t="str">
        <f t="shared" si="34"/>
        <v/>
      </c>
    </row>
    <row r="351" spans="1:6">
      <c r="A351" s="7" t="str">
        <f t="shared" si="35"/>
        <v/>
      </c>
      <c r="B351" s="14" t="str">
        <f t="shared" si="30"/>
        <v/>
      </c>
      <c r="C351" s="14" t="str">
        <f t="shared" si="31"/>
        <v/>
      </c>
      <c r="D351" s="14" t="str">
        <f t="shared" si="32"/>
        <v/>
      </c>
      <c r="E351" s="14" t="str">
        <f t="shared" si="33"/>
        <v/>
      </c>
      <c r="F351" s="14" t="str">
        <f t="shared" si="34"/>
        <v/>
      </c>
    </row>
    <row r="352" spans="1:6">
      <c r="A352" s="7" t="str">
        <f t="shared" si="35"/>
        <v/>
      </c>
      <c r="B352" s="14" t="str">
        <f t="shared" si="30"/>
        <v/>
      </c>
      <c r="C352" s="14" t="str">
        <f t="shared" si="31"/>
        <v/>
      </c>
      <c r="D352" s="14" t="str">
        <f t="shared" si="32"/>
        <v/>
      </c>
      <c r="E352" s="14" t="str">
        <f t="shared" si="33"/>
        <v/>
      </c>
      <c r="F352" s="14" t="str">
        <f t="shared" si="34"/>
        <v/>
      </c>
    </row>
    <row r="353" spans="1:6">
      <c r="A353" s="7" t="str">
        <f t="shared" si="35"/>
        <v/>
      </c>
      <c r="B353" s="14" t="str">
        <f t="shared" si="30"/>
        <v/>
      </c>
      <c r="C353" s="14" t="str">
        <f t="shared" si="31"/>
        <v/>
      </c>
      <c r="D353" s="14" t="str">
        <f t="shared" si="32"/>
        <v/>
      </c>
      <c r="E353" s="14" t="str">
        <f t="shared" si="33"/>
        <v/>
      </c>
      <c r="F353" s="14" t="str">
        <f t="shared" si="34"/>
        <v/>
      </c>
    </row>
    <row r="354" spans="1:6">
      <c r="A354" s="7" t="str">
        <f t="shared" si="35"/>
        <v/>
      </c>
      <c r="B354" s="14" t="str">
        <f t="shared" si="30"/>
        <v/>
      </c>
      <c r="C354" s="14" t="str">
        <f t="shared" si="31"/>
        <v/>
      </c>
      <c r="D354" s="14" t="str">
        <f t="shared" si="32"/>
        <v/>
      </c>
      <c r="E354" s="14" t="str">
        <f t="shared" si="33"/>
        <v/>
      </c>
      <c r="F354" s="14" t="str">
        <f t="shared" si="34"/>
        <v/>
      </c>
    </row>
    <row r="355" spans="1:6">
      <c r="A355" s="7" t="str">
        <f t="shared" si="35"/>
        <v/>
      </c>
      <c r="B355" s="14" t="str">
        <f t="shared" si="30"/>
        <v/>
      </c>
      <c r="C355" s="14" t="str">
        <f t="shared" si="31"/>
        <v/>
      </c>
      <c r="D355" s="14" t="str">
        <f t="shared" si="32"/>
        <v/>
      </c>
      <c r="E355" s="14" t="str">
        <f t="shared" si="33"/>
        <v/>
      </c>
      <c r="F355" s="14" t="str">
        <f t="shared" si="34"/>
        <v/>
      </c>
    </row>
    <row r="356" spans="1:6">
      <c r="A356" s="7" t="str">
        <f t="shared" si="35"/>
        <v/>
      </c>
      <c r="B356" s="14" t="str">
        <f t="shared" si="30"/>
        <v/>
      </c>
      <c r="C356" s="14" t="str">
        <f t="shared" si="31"/>
        <v/>
      </c>
      <c r="D356" s="14" t="str">
        <f t="shared" si="32"/>
        <v/>
      </c>
      <c r="E356" s="14" t="str">
        <f t="shared" si="33"/>
        <v/>
      </c>
      <c r="F356" s="14" t="str">
        <f t="shared" si="34"/>
        <v/>
      </c>
    </row>
    <row r="357" spans="1:6">
      <c r="A357" s="7" t="str">
        <f t="shared" si="35"/>
        <v/>
      </c>
      <c r="B357" s="14" t="str">
        <f t="shared" si="30"/>
        <v/>
      </c>
      <c r="C357" s="14" t="str">
        <f t="shared" si="31"/>
        <v/>
      </c>
      <c r="D357" s="14" t="str">
        <f t="shared" si="32"/>
        <v/>
      </c>
      <c r="E357" s="14" t="str">
        <f t="shared" si="33"/>
        <v/>
      </c>
      <c r="F357" s="14" t="str">
        <f t="shared" si="34"/>
        <v/>
      </c>
    </row>
    <row r="358" spans="1:6">
      <c r="A358" s="7" t="str">
        <f t="shared" si="35"/>
        <v/>
      </c>
      <c r="B358" s="14" t="str">
        <f t="shared" si="30"/>
        <v/>
      </c>
      <c r="C358" s="14" t="str">
        <f t="shared" si="31"/>
        <v/>
      </c>
      <c r="D358" s="14" t="str">
        <f t="shared" si="32"/>
        <v/>
      </c>
      <c r="E358" s="14" t="str">
        <f t="shared" si="33"/>
        <v/>
      </c>
      <c r="F358" s="14" t="str">
        <f t="shared" si="34"/>
        <v/>
      </c>
    </row>
    <row r="359" spans="1:6">
      <c r="A359" s="7" t="str">
        <f t="shared" si="35"/>
        <v/>
      </c>
      <c r="B359" s="14" t="str">
        <f t="shared" si="30"/>
        <v/>
      </c>
      <c r="C359" s="14" t="str">
        <f t="shared" si="31"/>
        <v/>
      </c>
      <c r="D359" s="14" t="str">
        <f t="shared" si="32"/>
        <v/>
      </c>
      <c r="E359" s="14" t="str">
        <f t="shared" si="33"/>
        <v/>
      </c>
      <c r="F359" s="14" t="str">
        <f t="shared" si="34"/>
        <v/>
      </c>
    </row>
    <row r="360" spans="1:6">
      <c r="A360" s="7" t="str">
        <f t="shared" si="35"/>
        <v/>
      </c>
      <c r="B360" s="14" t="str">
        <f t="shared" si="30"/>
        <v/>
      </c>
      <c r="C360" s="14" t="str">
        <f t="shared" si="31"/>
        <v/>
      </c>
      <c r="D360" s="14" t="str">
        <f t="shared" si="32"/>
        <v/>
      </c>
      <c r="E360" s="14" t="str">
        <f t="shared" si="33"/>
        <v/>
      </c>
      <c r="F360" s="14" t="str">
        <f t="shared" si="34"/>
        <v/>
      </c>
    </row>
    <row r="361" spans="1:6">
      <c r="A361" s="7" t="str">
        <f t="shared" si="35"/>
        <v/>
      </c>
      <c r="B361" s="14" t="str">
        <f t="shared" si="30"/>
        <v/>
      </c>
      <c r="C361" s="14" t="str">
        <f t="shared" si="31"/>
        <v/>
      </c>
      <c r="D361" s="14" t="str">
        <f t="shared" si="32"/>
        <v/>
      </c>
      <c r="E361" s="14" t="str">
        <f t="shared" si="33"/>
        <v/>
      </c>
      <c r="F361" s="14" t="str">
        <f t="shared" si="34"/>
        <v/>
      </c>
    </row>
    <row r="362" spans="1:6">
      <c r="A362" s="7" t="str">
        <f t="shared" si="35"/>
        <v/>
      </c>
      <c r="B362" s="14" t="str">
        <f t="shared" si="30"/>
        <v/>
      </c>
      <c r="C362" s="14" t="str">
        <f t="shared" si="31"/>
        <v/>
      </c>
      <c r="D362" s="14" t="str">
        <f t="shared" si="32"/>
        <v/>
      </c>
      <c r="E362" s="14" t="str">
        <f t="shared" si="33"/>
        <v/>
      </c>
      <c r="F362" s="14" t="str">
        <f t="shared" si="34"/>
        <v/>
      </c>
    </row>
    <row r="363" spans="1:6">
      <c r="A363" s="7" t="str">
        <f t="shared" si="35"/>
        <v/>
      </c>
      <c r="B363" s="14" t="str">
        <f t="shared" si="30"/>
        <v/>
      </c>
      <c r="C363" s="14" t="str">
        <f t="shared" si="31"/>
        <v/>
      </c>
      <c r="D363" s="14" t="str">
        <f t="shared" si="32"/>
        <v/>
      </c>
      <c r="E363" s="14" t="str">
        <f t="shared" si="33"/>
        <v/>
      </c>
      <c r="F363" s="14" t="str">
        <f t="shared" si="34"/>
        <v/>
      </c>
    </row>
    <row r="364" spans="1:6">
      <c r="A364" s="7" t="str">
        <f t="shared" si="35"/>
        <v/>
      </c>
      <c r="B364" s="14" t="str">
        <f t="shared" si="30"/>
        <v/>
      </c>
      <c r="C364" s="14" t="str">
        <f t="shared" si="31"/>
        <v/>
      </c>
      <c r="D364" s="14" t="str">
        <f t="shared" si="32"/>
        <v/>
      </c>
      <c r="E364" s="14" t="str">
        <f t="shared" si="33"/>
        <v/>
      </c>
      <c r="F364" s="14" t="str">
        <f t="shared" si="34"/>
        <v/>
      </c>
    </row>
    <row r="365" spans="1:6">
      <c r="A365" s="7" t="str">
        <f t="shared" si="35"/>
        <v/>
      </c>
      <c r="B365" s="14" t="str">
        <f t="shared" si="30"/>
        <v/>
      </c>
      <c r="C365" s="14" t="str">
        <f t="shared" si="31"/>
        <v/>
      </c>
      <c r="D365" s="14" t="str">
        <f t="shared" si="32"/>
        <v/>
      </c>
      <c r="E365" s="14" t="str">
        <f t="shared" si="33"/>
        <v/>
      </c>
      <c r="F365" s="14" t="str">
        <f t="shared" si="34"/>
        <v/>
      </c>
    </row>
    <row r="366" spans="1:6">
      <c r="A366" s="7" t="str">
        <f t="shared" si="35"/>
        <v/>
      </c>
      <c r="B366" s="14" t="str">
        <f t="shared" si="30"/>
        <v/>
      </c>
      <c r="C366" s="14" t="str">
        <f t="shared" si="31"/>
        <v/>
      </c>
      <c r="D366" s="14" t="str">
        <f t="shared" si="32"/>
        <v/>
      </c>
      <c r="E366" s="14" t="str">
        <f t="shared" si="33"/>
        <v/>
      </c>
      <c r="F366" s="14" t="str">
        <f t="shared" si="34"/>
        <v/>
      </c>
    </row>
    <row r="367" spans="1:6">
      <c r="A367" s="7" t="str">
        <f t="shared" si="35"/>
        <v/>
      </c>
      <c r="B367" s="14" t="str">
        <f t="shared" si="30"/>
        <v/>
      </c>
      <c r="C367" s="14" t="str">
        <f t="shared" si="31"/>
        <v/>
      </c>
      <c r="D367" s="14" t="str">
        <f t="shared" si="32"/>
        <v/>
      </c>
      <c r="E367" s="14" t="str">
        <f t="shared" si="33"/>
        <v/>
      </c>
      <c r="F367" s="14" t="str">
        <f t="shared" si="34"/>
        <v/>
      </c>
    </row>
    <row r="368" spans="1:6">
      <c r="A368" s="7" t="str">
        <f t="shared" si="35"/>
        <v/>
      </c>
      <c r="B368" s="14" t="str">
        <f t="shared" si="30"/>
        <v/>
      </c>
      <c r="C368" s="14" t="str">
        <f t="shared" si="31"/>
        <v/>
      </c>
      <c r="D368" s="14" t="str">
        <f t="shared" si="32"/>
        <v/>
      </c>
      <c r="E368" s="14" t="str">
        <f t="shared" si="33"/>
        <v/>
      </c>
      <c r="F368" s="14" t="str">
        <f t="shared" si="34"/>
        <v/>
      </c>
    </row>
    <row r="369" spans="1:6">
      <c r="A369" s="7" t="str">
        <f t="shared" si="35"/>
        <v/>
      </c>
      <c r="B369" s="14" t="str">
        <f t="shared" si="30"/>
        <v/>
      </c>
      <c r="C369" s="14" t="str">
        <f t="shared" si="31"/>
        <v/>
      </c>
      <c r="D369" s="14" t="str">
        <f t="shared" si="32"/>
        <v/>
      </c>
      <c r="E369" s="14" t="str">
        <f t="shared" si="33"/>
        <v/>
      </c>
      <c r="F369" s="14" t="str">
        <f t="shared" si="34"/>
        <v/>
      </c>
    </row>
    <row r="370" spans="1:6">
      <c r="A370" s="7" t="str">
        <f t="shared" si="35"/>
        <v/>
      </c>
      <c r="B370" s="14" t="str">
        <f t="shared" si="30"/>
        <v/>
      </c>
      <c r="C370" s="14" t="str">
        <f t="shared" si="31"/>
        <v/>
      </c>
      <c r="D370" s="14" t="str">
        <f t="shared" si="32"/>
        <v/>
      </c>
      <c r="E370" s="14" t="str">
        <f t="shared" si="33"/>
        <v/>
      </c>
      <c r="F370" s="14" t="str">
        <f t="shared" si="34"/>
        <v/>
      </c>
    </row>
    <row r="371" spans="1:6">
      <c r="A371" s="7" t="str">
        <f t="shared" si="35"/>
        <v/>
      </c>
      <c r="B371" s="14" t="str">
        <f t="shared" si="30"/>
        <v/>
      </c>
      <c r="C371" s="14" t="str">
        <f t="shared" si="31"/>
        <v/>
      </c>
      <c r="D371" s="14" t="str">
        <f t="shared" si="32"/>
        <v/>
      </c>
      <c r="E371" s="14" t="str">
        <f t="shared" si="33"/>
        <v/>
      </c>
      <c r="F371" s="14" t="str">
        <f t="shared" si="34"/>
        <v/>
      </c>
    </row>
    <row r="372" spans="1:6">
      <c r="A372" s="7" t="str">
        <f t="shared" si="35"/>
        <v/>
      </c>
      <c r="B372" s="14" t="str">
        <f t="shared" si="30"/>
        <v/>
      </c>
      <c r="C372" s="14" t="str">
        <f t="shared" si="31"/>
        <v/>
      </c>
      <c r="D372" s="14" t="str">
        <f t="shared" si="32"/>
        <v/>
      </c>
      <c r="E372" s="14" t="str">
        <f t="shared" si="33"/>
        <v/>
      </c>
      <c r="F372" s="14" t="str">
        <f t="shared" si="34"/>
        <v/>
      </c>
    </row>
    <row r="373" spans="1:6">
      <c r="A373" s="7" t="str">
        <f t="shared" si="35"/>
        <v/>
      </c>
      <c r="B373" s="14" t="str">
        <f t="shared" si="30"/>
        <v/>
      </c>
      <c r="C373" s="14" t="str">
        <f t="shared" si="31"/>
        <v/>
      </c>
      <c r="D373" s="14" t="str">
        <f t="shared" si="32"/>
        <v/>
      </c>
      <c r="E373" s="14" t="str">
        <f t="shared" si="33"/>
        <v/>
      </c>
      <c r="F373" s="14" t="str">
        <f t="shared" si="34"/>
        <v/>
      </c>
    </row>
    <row r="374" spans="1:6">
      <c r="A374" s="7" t="str">
        <f t="shared" si="35"/>
        <v/>
      </c>
      <c r="B374" s="14" t="str">
        <f t="shared" si="30"/>
        <v/>
      </c>
      <c r="C374" s="14" t="str">
        <f t="shared" si="31"/>
        <v/>
      </c>
      <c r="D374" s="14" t="str">
        <f t="shared" si="32"/>
        <v/>
      </c>
      <c r="E374" s="14" t="str">
        <f t="shared" si="33"/>
        <v/>
      </c>
      <c r="F374" s="14" t="str">
        <f t="shared" si="34"/>
        <v/>
      </c>
    </row>
    <row r="375" spans="1:6">
      <c r="A375" s="7" t="str">
        <f t="shared" si="35"/>
        <v/>
      </c>
      <c r="B375" s="14" t="str">
        <f t="shared" si="30"/>
        <v/>
      </c>
      <c r="C375" s="14" t="str">
        <f t="shared" si="31"/>
        <v/>
      </c>
      <c r="D375" s="14" t="str">
        <f t="shared" si="32"/>
        <v/>
      </c>
      <c r="E375" s="14" t="str">
        <f t="shared" si="33"/>
        <v/>
      </c>
      <c r="F375" s="14" t="str">
        <f t="shared" si="34"/>
        <v/>
      </c>
    </row>
    <row r="376" spans="1:6">
      <c r="A376" s="7" t="str">
        <f t="shared" si="35"/>
        <v/>
      </c>
      <c r="B376" s="14" t="str">
        <f t="shared" si="30"/>
        <v/>
      </c>
      <c r="C376" s="14" t="str">
        <f t="shared" si="31"/>
        <v/>
      </c>
      <c r="D376" s="14" t="str">
        <f t="shared" si="32"/>
        <v/>
      </c>
      <c r="E376" s="14" t="str">
        <f t="shared" si="33"/>
        <v/>
      </c>
      <c r="F376" s="14" t="str">
        <f t="shared" si="34"/>
        <v/>
      </c>
    </row>
    <row r="377" spans="1:6">
      <c r="A377" s="7" t="str">
        <f t="shared" si="35"/>
        <v/>
      </c>
      <c r="B377" s="14" t="str">
        <f t="shared" si="30"/>
        <v/>
      </c>
      <c r="C377" s="14" t="str">
        <f t="shared" si="31"/>
        <v/>
      </c>
      <c r="D377" s="14" t="str">
        <f t="shared" si="32"/>
        <v/>
      </c>
      <c r="E377" s="14" t="str">
        <f t="shared" si="33"/>
        <v/>
      </c>
      <c r="F377" s="14" t="str">
        <f t="shared" si="34"/>
        <v/>
      </c>
    </row>
    <row r="378" spans="1:6">
      <c r="A378" s="7" t="str">
        <f t="shared" si="35"/>
        <v/>
      </c>
      <c r="B378" s="14" t="str">
        <f t="shared" si="30"/>
        <v/>
      </c>
      <c r="C378" s="14" t="str">
        <f t="shared" si="31"/>
        <v/>
      </c>
      <c r="D378" s="14" t="str">
        <f t="shared" si="32"/>
        <v/>
      </c>
      <c r="E378" s="14" t="str">
        <f t="shared" si="33"/>
        <v/>
      </c>
      <c r="F378" s="14" t="str">
        <f t="shared" si="34"/>
        <v/>
      </c>
    </row>
    <row r="379" spans="1:6">
      <c r="A379" s="7" t="str">
        <f t="shared" si="35"/>
        <v/>
      </c>
      <c r="B379" s="14" t="str">
        <f t="shared" si="30"/>
        <v/>
      </c>
      <c r="C379" s="14" t="str">
        <f t="shared" si="31"/>
        <v/>
      </c>
      <c r="D379" s="14" t="str">
        <f t="shared" si="32"/>
        <v/>
      </c>
      <c r="E379" s="14" t="str">
        <f t="shared" si="33"/>
        <v/>
      </c>
      <c r="F379" s="14" t="str">
        <f t="shared" si="34"/>
        <v/>
      </c>
    </row>
  </sheetData>
  <phoneticPr fontId="3" type="noConversion"/>
  <pageMargins left="0.78740157480314965" right="0.78740157480314965" top="0.98425196850393704" bottom="0.98425196850393704" header="0" footer="0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enableFormatConditionsCalculation="0">
    <tabColor indexed="8"/>
    <pageSetUpPr fitToPage="1"/>
  </sheetPr>
  <dimension ref="A1:K25"/>
  <sheetViews>
    <sheetView showGridLines="0" zoomScale="85" workbookViewId="0">
      <pane xSplit="2" ySplit="4" topLeftCell="C5" activePane="bottomRight" state="frozen"/>
      <selection activeCell="I32" sqref="I32"/>
      <selection pane="topRight" activeCell="I32" sqref="I32"/>
      <selection pane="bottomLeft" activeCell="I32" sqref="I32"/>
      <selection pane="bottomRight" activeCell="B28" sqref="B28"/>
    </sheetView>
  </sheetViews>
  <sheetFormatPr baseColWidth="10" defaultColWidth="9.140625" defaultRowHeight="13.5"/>
  <cols>
    <col min="1" max="1" width="2.7109375" style="85" customWidth="1"/>
    <col min="2" max="2" width="35.42578125" style="85" customWidth="1"/>
    <col min="3" max="11" width="13.5703125" style="85" customWidth="1"/>
    <col min="12" max="16384" width="9.140625" style="85"/>
  </cols>
  <sheetData>
    <row r="1" spans="1:11">
      <c r="A1" s="87" t="str">
        <f>+'Cálculo préstamo Año 3'!A1</f>
        <v>ALFA</v>
      </c>
    </row>
    <row r="2" spans="1:11">
      <c r="A2" s="87" t="s">
        <v>204</v>
      </c>
    </row>
    <row r="3" spans="1:11">
      <c r="C3" s="228">
        <f>+'2 Financiación'!F4</f>
        <v>2014</v>
      </c>
      <c r="D3" s="228"/>
      <c r="E3" s="228"/>
      <c r="F3" s="228">
        <f>+'2 Financiación'!I4</f>
        <v>2015</v>
      </c>
      <c r="G3" s="229"/>
      <c r="H3" s="228"/>
      <c r="I3" s="228">
        <f>+'2 Financiación'!L4</f>
        <v>2016</v>
      </c>
      <c r="J3" s="86"/>
      <c r="K3" s="86"/>
    </row>
    <row r="4" spans="1:11">
      <c r="C4" s="86" t="s">
        <v>202</v>
      </c>
      <c r="D4" s="86" t="s">
        <v>93</v>
      </c>
      <c r="E4" s="86" t="s">
        <v>203</v>
      </c>
      <c r="F4" s="86" t="s">
        <v>202</v>
      </c>
      <c r="G4" s="86" t="s">
        <v>93</v>
      </c>
      <c r="H4" s="86" t="s">
        <v>203</v>
      </c>
      <c r="I4" s="86" t="s">
        <v>202</v>
      </c>
      <c r="J4" s="86" t="s">
        <v>93</v>
      </c>
      <c r="K4" s="86" t="s">
        <v>203</v>
      </c>
    </row>
    <row r="6" spans="1:11">
      <c r="B6" s="85" t="str">
        <f>+'1 Inversión'!C11</f>
        <v>Desarrollo</v>
      </c>
      <c r="C6" s="85">
        <f>+'1 Inversión'!E11</f>
        <v>1000</v>
      </c>
      <c r="D6" s="85">
        <f>+'1 Inversión'!G11</f>
        <v>333.33333333333331</v>
      </c>
      <c r="E6" s="85">
        <f t="shared" ref="E6:E23" si="0">+C6-D6</f>
        <v>666.66666666666674</v>
      </c>
      <c r="F6" s="85">
        <f>+'1 Inversión'!I11</f>
        <v>1000</v>
      </c>
      <c r="G6" s="85">
        <f>+'1 Inversión'!K11+D6</f>
        <v>666.66666666666663</v>
      </c>
      <c r="H6" s="85">
        <f t="shared" ref="H6:H23" si="1">+C6+F6-D6-G6</f>
        <v>1000.0000000000001</v>
      </c>
      <c r="I6" s="85">
        <f>+'1 Inversión'!M11</f>
        <v>1000</v>
      </c>
      <c r="J6" s="85">
        <f>+'1 Inversión'!O11+G6</f>
        <v>1000</v>
      </c>
      <c r="K6" s="85">
        <f t="shared" ref="K6:K23" si="2">+C6+F6+I6-D6-G6-J6</f>
        <v>1000</v>
      </c>
    </row>
    <row r="7" spans="1:11">
      <c r="B7" s="85" t="str">
        <f>+'1 Inversión'!C12</f>
        <v>Concesiones administrativas</v>
      </c>
      <c r="C7" s="85">
        <f>+'1 Inversión'!E12</f>
        <v>2000</v>
      </c>
      <c r="D7" s="85">
        <f>+'1 Inversión'!G12</f>
        <v>666.66666666666663</v>
      </c>
      <c r="E7" s="85">
        <f t="shared" si="0"/>
        <v>1333.3333333333335</v>
      </c>
      <c r="F7" s="85">
        <f>+'1 Inversión'!I12</f>
        <v>2000</v>
      </c>
      <c r="G7" s="85">
        <f>+'1 Inversión'!K12+D7</f>
        <v>1333.3333333333333</v>
      </c>
      <c r="H7" s="85">
        <f t="shared" si="1"/>
        <v>2000.0000000000002</v>
      </c>
      <c r="I7" s="85">
        <f>+'1 Inversión'!M12</f>
        <v>2000</v>
      </c>
      <c r="J7" s="85">
        <f>+'1 Inversión'!O12+G7</f>
        <v>2000</v>
      </c>
      <c r="K7" s="85">
        <f t="shared" si="2"/>
        <v>2000</v>
      </c>
    </row>
    <row r="8" spans="1:11">
      <c r="B8" s="85" t="str">
        <f>+'1 Inversión'!C13</f>
        <v>Propiedad industrial</v>
      </c>
      <c r="C8" s="85">
        <f>+'1 Inversión'!E13</f>
        <v>3000</v>
      </c>
      <c r="D8" s="85">
        <f>+'1 Inversión'!G13</f>
        <v>1000</v>
      </c>
      <c r="E8" s="85">
        <f t="shared" si="0"/>
        <v>2000</v>
      </c>
      <c r="F8" s="85">
        <f>+'1 Inversión'!I13</f>
        <v>3000</v>
      </c>
      <c r="G8" s="85">
        <f>+'1 Inversión'!K13+D8</f>
        <v>2000</v>
      </c>
      <c r="H8" s="85">
        <f t="shared" si="1"/>
        <v>3000</v>
      </c>
      <c r="I8" s="85">
        <f>+'1 Inversión'!M13</f>
        <v>3000</v>
      </c>
      <c r="J8" s="85">
        <f>+'1 Inversión'!O13+G8</f>
        <v>3000</v>
      </c>
      <c r="K8" s="85">
        <f t="shared" si="2"/>
        <v>3000</v>
      </c>
    </row>
    <row r="9" spans="1:11">
      <c r="B9" s="85" t="str">
        <f>+'1 Inversión'!C14</f>
        <v>Fondo de comercio</v>
      </c>
      <c r="C9" s="85">
        <f>+'1 Inversión'!E14</f>
        <v>4000</v>
      </c>
      <c r="E9" s="85">
        <f t="shared" si="0"/>
        <v>4000</v>
      </c>
      <c r="F9" s="85">
        <f>+'1 Inversión'!I14</f>
        <v>4000</v>
      </c>
      <c r="G9" s="85">
        <f>+'1 Inversión'!K14+D9</f>
        <v>0</v>
      </c>
      <c r="H9" s="85">
        <f t="shared" si="1"/>
        <v>8000</v>
      </c>
      <c r="I9" s="85">
        <f>+'1 Inversión'!M14</f>
        <v>4000</v>
      </c>
      <c r="J9" s="85">
        <f>+'1 Inversión'!O14+G9</f>
        <v>0</v>
      </c>
      <c r="K9" s="85">
        <f t="shared" si="2"/>
        <v>12000</v>
      </c>
    </row>
    <row r="10" spans="1:11">
      <c r="B10" s="85" t="str">
        <f>+'1 Inversión'!C15</f>
        <v>Derechos de traspaso</v>
      </c>
      <c r="C10" s="85">
        <f>+'1 Inversión'!E15</f>
        <v>5000</v>
      </c>
      <c r="D10" s="85">
        <f>+'1 Inversión'!G15</f>
        <v>1666.6666666666667</v>
      </c>
      <c r="E10" s="85">
        <f t="shared" si="0"/>
        <v>3333.333333333333</v>
      </c>
      <c r="F10" s="85">
        <f>+'1 Inversión'!I15</f>
        <v>5000</v>
      </c>
      <c r="G10" s="85">
        <f>+'1 Inversión'!K15+D10</f>
        <v>3333.3333333333335</v>
      </c>
      <c r="H10" s="85">
        <f t="shared" si="1"/>
        <v>5000</v>
      </c>
      <c r="I10" s="85">
        <f>+'1 Inversión'!M15</f>
        <v>5000</v>
      </c>
      <c r="J10" s="85">
        <f>+'1 Inversión'!O15+G10</f>
        <v>5000</v>
      </c>
      <c r="K10" s="85">
        <f t="shared" si="2"/>
        <v>5000</v>
      </c>
    </row>
    <row r="11" spans="1:11">
      <c r="B11" s="85" t="str">
        <f>+'1 Inversión'!C16</f>
        <v>Aplicaciones informáticas</v>
      </c>
      <c r="C11" s="85">
        <f>+'1 Inversión'!E16</f>
        <v>6000</v>
      </c>
      <c r="D11" s="85">
        <f>+'1 Inversión'!G16</f>
        <v>2000</v>
      </c>
      <c r="E11" s="85">
        <f t="shared" si="0"/>
        <v>4000</v>
      </c>
      <c r="F11" s="85">
        <f>+'1 Inversión'!I16</f>
        <v>6000</v>
      </c>
      <c r="G11" s="85">
        <f>+'1 Inversión'!K16+D11</f>
        <v>4000</v>
      </c>
      <c r="H11" s="85">
        <f t="shared" si="1"/>
        <v>6000</v>
      </c>
      <c r="I11" s="85">
        <f>+'1 Inversión'!M16</f>
        <v>6000</v>
      </c>
      <c r="J11" s="85">
        <f>+'1 Inversión'!O16+G11</f>
        <v>6000</v>
      </c>
      <c r="K11" s="85">
        <f t="shared" si="2"/>
        <v>6000</v>
      </c>
    </row>
    <row r="12" spans="1:11">
      <c r="B12" s="85" t="str">
        <f>+'1 Inversión'!C20</f>
        <v>Terrenos y bienes naturales</v>
      </c>
      <c r="C12" s="85">
        <f>+'1 Inversión'!E20</f>
        <v>7000</v>
      </c>
      <c r="E12" s="85">
        <f t="shared" si="0"/>
        <v>7000</v>
      </c>
      <c r="F12" s="85">
        <f>+'1 Inversión'!I20</f>
        <v>7000</v>
      </c>
      <c r="G12" s="85">
        <f>+'1 Inversión'!K17+D12</f>
        <v>0</v>
      </c>
      <c r="H12" s="85">
        <f t="shared" si="1"/>
        <v>14000</v>
      </c>
      <c r="I12" s="85">
        <f>+'1 Inversión'!M20</f>
        <v>7000</v>
      </c>
      <c r="J12" s="85">
        <f>+'1 Inversión'!O20+G12</f>
        <v>0</v>
      </c>
      <c r="K12" s="85">
        <f t="shared" si="2"/>
        <v>21000</v>
      </c>
    </row>
    <row r="13" spans="1:11">
      <c r="B13" s="85" t="str">
        <f>+'1 Inversión'!C21</f>
        <v>Construcciones</v>
      </c>
      <c r="C13" s="85">
        <f>+'1 Inversión'!E21</f>
        <v>1000</v>
      </c>
      <c r="D13" s="85">
        <f>+'1 Inversión'!G21</f>
        <v>333.33333333333331</v>
      </c>
      <c r="E13" s="85">
        <f t="shared" si="0"/>
        <v>666.66666666666674</v>
      </c>
      <c r="F13" s="85">
        <f>+'1 Inversión'!I21</f>
        <v>8000</v>
      </c>
      <c r="G13" s="85">
        <f>+'1 Inversión'!K21+D13</f>
        <v>8333.3333333333339</v>
      </c>
      <c r="H13" s="85">
        <f t="shared" si="1"/>
        <v>333.33333333333212</v>
      </c>
      <c r="I13" s="85">
        <f>+'1 Inversión'!M21</f>
        <v>8000</v>
      </c>
      <c r="J13" s="85">
        <f>+'1 Inversión'!O21+G13</f>
        <v>11000</v>
      </c>
      <c r="K13" s="85">
        <f t="shared" si="2"/>
        <v>-2666.6666666666661</v>
      </c>
    </row>
    <row r="14" spans="1:11">
      <c r="B14" s="85" t="str">
        <f>+'1 Inversión'!C22</f>
        <v>Instalaciones técnicas</v>
      </c>
      <c r="C14" s="85">
        <f>+'1 Inversión'!E22</f>
        <v>9000</v>
      </c>
      <c r="D14" s="85">
        <f>+'1 Inversión'!G22</f>
        <v>3000</v>
      </c>
      <c r="E14" s="85">
        <f t="shared" si="0"/>
        <v>6000</v>
      </c>
      <c r="F14" s="85">
        <f>+'1 Inversión'!I22</f>
        <v>9000</v>
      </c>
      <c r="G14" s="85">
        <f>+'1 Inversión'!K19+D14</f>
        <v>3000</v>
      </c>
      <c r="H14" s="85">
        <f t="shared" si="1"/>
        <v>12000</v>
      </c>
      <c r="I14" s="85">
        <f>+'1 Inversión'!M22</f>
        <v>9000</v>
      </c>
      <c r="J14" s="85">
        <f>+'1 Inversión'!O22+G14</f>
        <v>6000</v>
      </c>
      <c r="K14" s="85">
        <f t="shared" si="2"/>
        <v>15000</v>
      </c>
    </row>
    <row r="15" spans="1:11">
      <c r="B15" s="85" t="str">
        <f>+'1 Inversión'!C23</f>
        <v>Maquinaria</v>
      </c>
      <c r="C15" s="85">
        <f>+'1 Inversión'!E23</f>
        <v>4000</v>
      </c>
      <c r="D15" s="85">
        <f>+'1 Inversión'!G23</f>
        <v>1333.3333333333333</v>
      </c>
      <c r="E15" s="85">
        <f t="shared" si="0"/>
        <v>2666.666666666667</v>
      </c>
      <c r="F15" s="85">
        <f>+'1 Inversión'!I23</f>
        <v>10000</v>
      </c>
      <c r="G15" s="85">
        <f>+'1 Inversión'!K23+D15</f>
        <v>11333.333333333334</v>
      </c>
      <c r="H15" s="85">
        <f t="shared" si="1"/>
        <v>1333.3333333333321</v>
      </c>
      <c r="I15" s="85">
        <f>+'1 Inversión'!M23</f>
        <v>10000</v>
      </c>
      <c r="J15" s="85">
        <f>+'1 Inversión'!O23+G15</f>
        <v>14666.666666666668</v>
      </c>
      <c r="K15" s="85">
        <f t="shared" si="2"/>
        <v>-3333.3333333333339</v>
      </c>
    </row>
    <row r="16" spans="1:11">
      <c r="B16" s="85" t="str">
        <f>+'1 Inversión'!C24</f>
        <v>Utillaje</v>
      </c>
      <c r="C16" s="85">
        <f>+'1 Inversión'!E24</f>
        <v>2000</v>
      </c>
      <c r="D16" s="85">
        <f>+'1 Inversión'!G24</f>
        <v>666.66666666666663</v>
      </c>
      <c r="E16" s="85">
        <f t="shared" si="0"/>
        <v>1333.3333333333335</v>
      </c>
      <c r="F16" s="85">
        <f>+'1 Inversión'!I24</f>
        <v>11000</v>
      </c>
      <c r="G16" s="85">
        <f>+'1 Inversión'!K24+D16</f>
        <v>11666.666666666666</v>
      </c>
      <c r="H16" s="85">
        <f t="shared" si="1"/>
        <v>666.66666666666788</v>
      </c>
      <c r="I16" s="85">
        <f>+'1 Inversión'!M24</f>
        <v>11000</v>
      </c>
      <c r="J16" s="85">
        <f>+'1 Inversión'!O24+G16</f>
        <v>15333.333333333332</v>
      </c>
      <c r="K16" s="85">
        <f t="shared" si="2"/>
        <v>-3666.6666666666661</v>
      </c>
    </row>
    <row r="17" spans="2:11">
      <c r="B17" s="85" t="str">
        <f>+'1 Inversión'!C25</f>
        <v>Otras instalaciones</v>
      </c>
      <c r="C17" s="85">
        <f>+'1 Inversión'!E25</f>
        <v>1200</v>
      </c>
      <c r="D17" s="85">
        <f>+'1 Inversión'!G25</f>
        <v>400</v>
      </c>
      <c r="E17" s="85">
        <f t="shared" si="0"/>
        <v>800</v>
      </c>
      <c r="F17" s="85">
        <f>+'1 Inversión'!I25</f>
        <v>1200</v>
      </c>
      <c r="G17" s="85">
        <f>+'1 Inversión'!K25+D17</f>
        <v>1600</v>
      </c>
      <c r="H17" s="85">
        <f t="shared" si="1"/>
        <v>400</v>
      </c>
      <c r="I17" s="85">
        <f>+'1 Inversión'!M25</f>
        <v>1200</v>
      </c>
      <c r="J17" s="85">
        <f>+'1 Inversión'!O25+G17</f>
        <v>2000</v>
      </c>
      <c r="K17" s="85">
        <f>+C17+F17+I17-D17-G17-J17</f>
        <v>-400</v>
      </c>
    </row>
    <row r="18" spans="2:11">
      <c r="B18" s="85" t="str">
        <f>+'1 Inversión'!C26</f>
        <v>Mobiliario</v>
      </c>
      <c r="C18" s="85">
        <f>+'1 Inversión'!E26</f>
        <v>1300</v>
      </c>
      <c r="D18" s="85">
        <f>+'1 Inversión'!G26</f>
        <v>433.33333333333331</v>
      </c>
      <c r="E18" s="85">
        <f t="shared" si="0"/>
        <v>866.66666666666674</v>
      </c>
      <c r="F18" s="85">
        <f>+'1 Inversión'!I26</f>
        <v>1300</v>
      </c>
      <c r="G18" s="85">
        <f>+'1 Inversión'!K26+D18</f>
        <v>1733.3333333333333</v>
      </c>
      <c r="H18" s="85">
        <f t="shared" si="1"/>
        <v>433.33333333333326</v>
      </c>
      <c r="I18" s="85">
        <f>+'1 Inversión'!M26</f>
        <v>1300</v>
      </c>
      <c r="J18" s="85">
        <f>+'1 Inversión'!O26+G18</f>
        <v>2166.6666666666665</v>
      </c>
      <c r="K18" s="85">
        <f t="shared" si="2"/>
        <v>-433.33333333333326</v>
      </c>
    </row>
    <row r="19" spans="2:11">
      <c r="B19" s="85" t="str">
        <f>+'1 Inversión'!C27</f>
        <v>Equipos para procesos de información</v>
      </c>
      <c r="C19" s="85">
        <f>+'1 Inversión'!E27</f>
        <v>1400</v>
      </c>
      <c r="D19" s="85">
        <f>+'1 Inversión'!G27</f>
        <v>466.66666666666669</v>
      </c>
      <c r="E19" s="85">
        <f t="shared" si="0"/>
        <v>933.33333333333326</v>
      </c>
      <c r="F19" s="85">
        <f>+'1 Inversión'!I27</f>
        <v>1400</v>
      </c>
      <c r="G19" s="85">
        <f>+'1 Inversión'!K27+D19</f>
        <v>1866.6666666666667</v>
      </c>
      <c r="H19" s="85">
        <f t="shared" si="1"/>
        <v>466.66666666666674</v>
      </c>
      <c r="I19" s="85">
        <f>+'1 Inversión'!M27</f>
        <v>1400</v>
      </c>
      <c r="J19" s="85">
        <f>+'1 Inversión'!O27+G19</f>
        <v>2333.3333333333335</v>
      </c>
      <c r="K19" s="85">
        <f t="shared" si="2"/>
        <v>-466.66666666666674</v>
      </c>
    </row>
    <row r="20" spans="2:11">
      <c r="B20" s="85" t="str">
        <f>+'1 Inversión'!C28</f>
        <v>Elementos de transportes</v>
      </c>
      <c r="C20" s="85">
        <f>+'1 Inversión'!E28</f>
        <v>1500</v>
      </c>
      <c r="D20" s="85">
        <f>+'1 Inversión'!G28</f>
        <v>500</v>
      </c>
      <c r="E20" s="85">
        <f t="shared" si="0"/>
        <v>1000</v>
      </c>
      <c r="F20" s="85">
        <f>+'1 Inversión'!I28</f>
        <v>1500</v>
      </c>
      <c r="G20" s="85">
        <f>+'1 Inversión'!K28+D20</f>
        <v>2000</v>
      </c>
      <c r="H20" s="85">
        <f t="shared" si="1"/>
        <v>500</v>
      </c>
      <c r="I20" s="85">
        <f>+'1 Inversión'!M28</f>
        <v>1500</v>
      </c>
      <c r="J20" s="85">
        <f>+'1 Inversión'!O28+G20</f>
        <v>2500</v>
      </c>
      <c r="K20" s="85">
        <f t="shared" si="2"/>
        <v>-500</v>
      </c>
    </row>
    <row r="21" spans="2:11">
      <c r="B21" s="85" t="str">
        <f>+'1 Inversión'!C29</f>
        <v>Otro inmovilizado material</v>
      </c>
      <c r="C21" s="85">
        <f>+'1 Inversión'!E29</f>
        <v>1600</v>
      </c>
      <c r="D21" s="85">
        <f>+'1 Inversión'!G29</f>
        <v>533.33333333333337</v>
      </c>
      <c r="E21" s="85">
        <f t="shared" si="0"/>
        <v>1066.6666666666665</v>
      </c>
      <c r="F21" s="85">
        <f>+'1 Inversión'!I29</f>
        <v>1600</v>
      </c>
      <c r="G21" s="85">
        <f>+'1 Inversión'!K29+D21</f>
        <v>2133.3333333333335</v>
      </c>
      <c r="H21" s="85">
        <f t="shared" si="1"/>
        <v>533.33333333333303</v>
      </c>
      <c r="I21" s="85">
        <f>+'1 Inversión'!M29</f>
        <v>1600</v>
      </c>
      <c r="J21" s="85">
        <f>+'1 Inversión'!O29+G21</f>
        <v>2666.666666666667</v>
      </c>
      <c r="K21" s="85">
        <f t="shared" si="2"/>
        <v>-533.33333333333348</v>
      </c>
    </row>
    <row r="22" spans="2:11">
      <c r="B22" s="85" t="str">
        <f>+'1 Inversión'!C33</f>
        <v>Inversiones en terrenos</v>
      </c>
      <c r="C22" s="85">
        <f>+'1 Inversión'!E33</f>
        <v>17</v>
      </c>
      <c r="E22" s="85">
        <f t="shared" si="0"/>
        <v>17</v>
      </c>
      <c r="F22" s="85">
        <f>+'1 Inversión'!I33</f>
        <v>35</v>
      </c>
      <c r="G22" s="85">
        <f>+'1 Inversión'!K33+D22</f>
        <v>0</v>
      </c>
      <c r="H22" s="85">
        <f t="shared" si="1"/>
        <v>52</v>
      </c>
      <c r="I22" s="85">
        <f>+'1 Inversión'!M33</f>
        <v>53</v>
      </c>
      <c r="J22" s="85">
        <f>+'1 Inversión'!O33+G22</f>
        <v>0</v>
      </c>
      <c r="K22" s="85">
        <f t="shared" si="2"/>
        <v>105</v>
      </c>
    </row>
    <row r="23" spans="2:11">
      <c r="B23" s="85" t="str">
        <f>+'1 Inversión'!C34</f>
        <v>Inversiones en construcciones</v>
      </c>
      <c r="C23" s="85">
        <f>+'1 Inversión'!E34</f>
        <v>18</v>
      </c>
      <c r="D23" s="85">
        <f>+'1 Inversión'!G34</f>
        <v>6</v>
      </c>
      <c r="E23" s="85">
        <f t="shared" si="0"/>
        <v>12</v>
      </c>
      <c r="F23" s="85">
        <f>+'1 Inversión'!I34</f>
        <v>36</v>
      </c>
      <c r="G23" s="85">
        <f>+'1 Inversión'!K34+D23</f>
        <v>18</v>
      </c>
      <c r="H23" s="85">
        <f t="shared" si="1"/>
        <v>30</v>
      </c>
      <c r="I23" s="85">
        <f>+'1 Inversión'!M34</f>
        <v>54</v>
      </c>
      <c r="J23" s="85">
        <f>+'1 Inversión'!O34+G23</f>
        <v>36</v>
      </c>
      <c r="K23" s="85">
        <f t="shared" si="2"/>
        <v>48</v>
      </c>
    </row>
    <row r="25" spans="2:11">
      <c r="D25" s="87">
        <f>+SUM(D6:D23)</f>
        <v>13339.333333333334</v>
      </c>
      <c r="E25" s="87">
        <f>+SUM(E6:E23)</f>
        <v>37695.666666666664</v>
      </c>
      <c r="F25" s="87"/>
      <c r="G25" s="87">
        <f>+SUM(G6:G23)</f>
        <v>55018</v>
      </c>
      <c r="H25" s="87">
        <f>+SUM(H6:H23)</f>
        <v>55748.666666666664</v>
      </c>
      <c r="I25" s="87"/>
      <c r="J25" s="87">
        <f>+SUM(J6:J23)</f>
        <v>75702.666666666672</v>
      </c>
      <c r="K25" s="87">
        <f>+SUM(K6:K23)</f>
        <v>53153</v>
      </c>
    </row>
  </sheetData>
  <phoneticPr fontId="2" type="noConversion"/>
  <pageMargins left="0.78740157480314965" right="0.78740157480314965" top="0.98425196850393704" bottom="0.98425196850393704" header="0" footer="0"/>
  <pageSetup paperSize="9" scale="83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M19"/>
  <sheetViews>
    <sheetView showGridLines="0" zoomScale="130" zoomScaleNormal="130" workbookViewId="0">
      <selection activeCell="B9" sqref="B9"/>
    </sheetView>
  </sheetViews>
  <sheetFormatPr baseColWidth="10" defaultColWidth="9.140625" defaultRowHeight="12.75"/>
  <cols>
    <col min="1" max="3" width="9.140625" customWidth="1"/>
    <col min="4" max="4" width="24" customWidth="1"/>
    <col min="5" max="5" width="5.5703125" customWidth="1"/>
    <col min="6" max="7" width="9.140625" customWidth="1"/>
    <col min="8" max="8" width="5.140625" customWidth="1"/>
    <col min="9" max="10" width="9.140625" customWidth="1"/>
    <col min="11" max="11" width="5.140625" customWidth="1"/>
    <col min="12" max="12" width="12.28515625" bestFit="1" customWidth="1"/>
  </cols>
  <sheetData>
    <row r="1" spans="1:13" s="1" customFormat="1">
      <c r="A1" s="18"/>
      <c r="B1" s="491" t="str">
        <f>+'Datos iniciales'!C4</f>
        <v>ALFA</v>
      </c>
      <c r="C1" s="491"/>
      <c r="F1" s="75"/>
      <c r="H1" s="76"/>
      <c r="I1" s="75"/>
      <c r="K1" s="76"/>
      <c r="L1" s="75"/>
    </row>
    <row r="2" spans="1:13" s="1" customFormat="1">
      <c r="C2" s="74"/>
      <c r="D2" s="77"/>
      <c r="F2" s="113"/>
      <c r="G2" s="114"/>
      <c r="H2" s="115"/>
      <c r="I2" s="113"/>
      <c r="J2" s="114"/>
      <c r="K2" s="115"/>
      <c r="L2" s="113"/>
    </row>
    <row r="3" spans="1:13" s="1" customFormat="1" ht="15" thickBot="1">
      <c r="A3" s="19"/>
      <c r="B3" s="89" t="s">
        <v>205</v>
      </c>
      <c r="C3" s="93"/>
      <c r="D3" s="88"/>
      <c r="E3" s="90"/>
      <c r="F3" s="492">
        <f>+'C Balance'!F5:G5</f>
        <v>2014</v>
      </c>
      <c r="G3" s="492"/>
      <c r="H3" s="90"/>
      <c r="I3" s="492">
        <f>+F3+1</f>
        <v>2015</v>
      </c>
      <c r="J3" s="492"/>
      <c r="K3" s="90"/>
      <c r="L3" s="492">
        <f>+I3+1</f>
        <v>2016</v>
      </c>
      <c r="M3" s="492"/>
    </row>
    <row r="4" spans="1:13" s="1" customFormat="1" ht="14.25">
      <c r="A4" s="19"/>
      <c r="B4" s="19"/>
      <c r="C4" s="78"/>
      <c r="D4" s="19"/>
      <c r="E4" s="20"/>
      <c r="F4" s="21"/>
      <c r="G4" s="19"/>
      <c r="H4" s="79"/>
      <c r="I4" s="21"/>
      <c r="J4" s="19"/>
      <c r="K4" s="79"/>
      <c r="L4" s="21"/>
      <c r="M4" s="19"/>
    </row>
    <row r="5" spans="1:13" s="1" customFormat="1" ht="14.25">
      <c r="A5" s="26"/>
      <c r="B5" s="32"/>
      <c r="C5" s="81"/>
      <c r="D5" s="33"/>
      <c r="E5" s="34"/>
      <c r="F5" s="117"/>
      <c r="G5" s="118"/>
      <c r="H5" s="80"/>
      <c r="I5" s="117"/>
      <c r="J5" s="118"/>
      <c r="K5" s="80"/>
      <c r="L5" s="117"/>
      <c r="M5" s="118"/>
    </row>
    <row r="6" spans="1:13" s="1" customFormat="1" ht="14.25">
      <c r="A6" s="26"/>
      <c r="B6" s="32"/>
      <c r="C6" s="81"/>
      <c r="D6" s="33"/>
      <c r="E6" s="34"/>
      <c r="F6" s="35"/>
      <c r="G6" s="36"/>
      <c r="H6" s="34"/>
      <c r="I6" s="35"/>
      <c r="J6" s="36"/>
      <c r="K6" s="34"/>
      <c r="L6" s="35"/>
      <c r="M6" s="36"/>
    </row>
    <row r="7" spans="1:13" s="1" customFormat="1" ht="14.25">
      <c r="A7" s="37"/>
      <c r="B7" s="102" t="str">
        <f>+'B Pérdidas y Ganancias'!B42</f>
        <v>RESULTADO ANTES DE IMPUESTOS (A+B)</v>
      </c>
      <c r="C7" s="116"/>
      <c r="D7" s="103"/>
      <c r="E7" s="104"/>
      <c r="F7" s="65">
        <f>'B Pérdidas y Ganancias'!F42</f>
        <v>-5105.3298750000013</v>
      </c>
      <c r="G7" s="105"/>
      <c r="H7" s="82"/>
      <c r="I7" s="65">
        <f>+'B Pérdidas y Ganancias'!I42</f>
        <v>18696.463666666667</v>
      </c>
      <c r="J7" s="105"/>
      <c r="K7" s="82"/>
      <c r="L7" s="65">
        <f>+'B Pérdidas y Ganancias'!L42</f>
        <v>-54597.852141666677</v>
      </c>
      <c r="M7" s="105"/>
    </row>
    <row r="8" spans="1:13" s="84" customFormat="1" ht="14.25">
      <c r="A8" s="100"/>
      <c r="B8" s="108"/>
      <c r="C8" s="81"/>
      <c r="D8" s="33"/>
      <c r="E8" s="79"/>
      <c r="F8" s="64"/>
      <c r="G8" s="66"/>
      <c r="H8" s="83"/>
      <c r="I8" s="64"/>
      <c r="J8" s="66"/>
      <c r="K8" s="83"/>
      <c r="L8" s="64"/>
      <c r="M8" s="66"/>
    </row>
    <row r="9" spans="1:13" s="1" customFormat="1" ht="14.25">
      <c r="A9" s="37"/>
      <c r="B9" s="102" t="str">
        <f>+'B Pérdidas y Ganancias'!B44</f>
        <v>Impuestos sobre beneficios</v>
      </c>
      <c r="C9" s="116"/>
      <c r="D9" s="103"/>
      <c r="E9" s="104"/>
      <c r="F9" s="65">
        <f>-'B Pérdidas y Ganancias'!F44</f>
        <v>-1276.3324687500003</v>
      </c>
      <c r="G9" s="105"/>
      <c r="H9" s="82"/>
      <c r="I9" s="65">
        <f>-'B Pérdidas y Ganancias'!I44</f>
        <v>4674.1159166666666</v>
      </c>
      <c r="J9" s="105"/>
      <c r="K9" s="82"/>
      <c r="L9" s="65">
        <f>-'B Pérdidas y Ganancias'!L44</f>
        <v>-13649.463035416669</v>
      </c>
      <c r="M9" s="105"/>
    </row>
    <row r="10" spans="1:13" s="84" customFormat="1" ht="14.25">
      <c r="A10" s="100"/>
      <c r="B10" s="108"/>
      <c r="C10" s="81"/>
      <c r="D10" s="33"/>
      <c r="E10" s="79"/>
      <c r="F10" s="64"/>
      <c r="G10" s="66"/>
      <c r="H10" s="83"/>
      <c r="I10" s="64"/>
      <c r="J10" s="66"/>
      <c r="K10" s="83"/>
      <c r="L10" s="64"/>
      <c r="M10" s="66"/>
    </row>
    <row r="11" spans="1:13" s="1" customFormat="1" ht="14.25">
      <c r="A11" s="37"/>
      <c r="B11" s="102" t="s">
        <v>206</v>
      </c>
      <c r="C11" s="116"/>
      <c r="D11" s="103"/>
      <c r="E11" s="104"/>
      <c r="F11" s="65">
        <f>+IF(F9&gt;0,0,F9)</f>
        <v>-1276.3324687500003</v>
      </c>
      <c r="G11" s="105"/>
      <c r="H11" s="82"/>
      <c r="I11" s="65">
        <f>+IF(I9&gt;0,0,I9)</f>
        <v>0</v>
      </c>
      <c r="J11" s="105"/>
      <c r="K11" s="82"/>
      <c r="L11" s="65">
        <f>+IF(L9&gt;0,0,L9)</f>
        <v>-13649.463035416669</v>
      </c>
      <c r="M11" s="105"/>
    </row>
    <row r="12" spans="1:13" s="1" customFormat="1" ht="14.25">
      <c r="A12" s="100"/>
      <c r="B12" s="108"/>
      <c r="C12" s="81"/>
      <c r="D12" s="33"/>
      <c r="E12" s="79"/>
      <c r="F12" s="64"/>
      <c r="G12" s="66"/>
      <c r="H12" s="83"/>
      <c r="I12" s="64"/>
      <c r="J12" s="66"/>
      <c r="K12" s="83"/>
      <c r="L12" s="64"/>
      <c r="M12" s="66"/>
    </row>
    <row r="13" spans="1:13" s="1" customFormat="1" ht="14.25">
      <c r="A13" s="37"/>
      <c r="B13" s="102" t="s">
        <v>207</v>
      </c>
      <c r="C13" s="116"/>
      <c r="D13" s="103"/>
      <c r="E13" s="104"/>
      <c r="F13" s="65">
        <f>+IF(F9&gt;0,F9,0)</f>
        <v>0</v>
      </c>
      <c r="G13" s="105"/>
      <c r="H13" s="82"/>
      <c r="I13" s="65">
        <f>+IF((F15)&gt;I9,0,F15+I9)</f>
        <v>3397.7834479166663</v>
      </c>
      <c r="J13" s="105"/>
      <c r="K13" s="82"/>
      <c r="L13" s="65">
        <f>+IF(ABS(I15)&gt;L9,0,I15+L9)</f>
        <v>0</v>
      </c>
      <c r="M13" s="105"/>
    </row>
    <row r="14" spans="1:13" s="84" customFormat="1" ht="14.25">
      <c r="B14" s="108"/>
      <c r="C14" s="81"/>
      <c r="D14" s="33"/>
      <c r="E14" s="79"/>
      <c r="F14" s="64"/>
      <c r="G14" s="66"/>
      <c r="H14" s="83"/>
      <c r="I14" s="64"/>
      <c r="J14" s="66"/>
      <c r="K14" s="83"/>
      <c r="L14" s="64"/>
      <c r="M14" s="66"/>
    </row>
    <row r="15" spans="1:13" s="1" customFormat="1" ht="14.25">
      <c r="A15" s="37"/>
      <c r="B15" s="102" t="s">
        <v>208</v>
      </c>
      <c r="C15" s="116"/>
      <c r="D15" s="103"/>
      <c r="E15" s="104"/>
      <c r="F15" s="65">
        <f>+F11</f>
        <v>-1276.3324687500003</v>
      </c>
      <c r="G15" s="105"/>
      <c r="H15" s="82"/>
      <c r="I15" s="65">
        <f>+IF(I13&gt;0,0,F15+I11)</f>
        <v>0</v>
      </c>
      <c r="J15" s="105"/>
      <c r="K15" s="82"/>
      <c r="L15" s="65">
        <f>+IF((I15)&lt;L9,I15+L9,L11)+IF(L13=0,I15,0)</f>
        <v>-13649.463035416669</v>
      </c>
      <c r="M15" s="105"/>
    </row>
    <row r="17" spans="9:12">
      <c r="I17" s="456"/>
      <c r="L17" s="456"/>
    </row>
    <row r="19" spans="9:12">
      <c r="L19" s="237"/>
    </row>
  </sheetData>
  <mergeCells count="4">
    <mergeCell ref="B1:C1"/>
    <mergeCell ref="F3:G3"/>
    <mergeCell ref="I3:J3"/>
    <mergeCell ref="L3:M3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 enableFormatConditionsCalculation="0">
    <tabColor indexed="18"/>
    <pageSetUpPr fitToPage="1"/>
  </sheetPr>
  <dimension ref="A1:O44"/>
  <sheetViews>
    <sheetView showGridLines="0" topLeftCell="A4" workbookViewId="0">
      <selection activeCell="C47" sqref="C47"/>
    </sheetView>
  </sheetViews>
  <sheetFormatPr baseColWidth="10" defaultColWidth="9.140625" defaultRowHeight="13.5"/>
  <cols>
    <col min="1" max="1" width="5.85546875" style="125" bestFit="1" customWidth="1"/>
    <col min="2" max="2" width="6.28515625" style="125" customWidth="1"/>
    <col min="3" max="3" width="32" style="125" customWidth="1"/>
    <col min="4" max="4" width="11.5703125" style="125" customWidth="1"/>
    <col min="5" max="5" width="13.7109375" style="125" customWidth="1"/>
    <col min="6" max="6" width="9.85546875" style="125" customWidth="1"/>
    <col min="7" max="7" width="11.7109375" style="125" customWidth="1"/>
    <col min="8" max="8" width="0.5703125" style="251" customWidth="1"/>
    <col min="9" max="9" width="13.7109375" style="125" customWidth="1"/>
    <col min="10" max="10" width="9.85546875" style="125" customWidth="1"/>
    <col min="11" max="11" width="11.7109375" style="125" customWidth="1"/>
    <col min="12" max="12" width="0.5703125" style="251" customWidth="1"/>
    <col min="13" max="13" width="13.7109375" style="125" customWidth="1"/>
    <col min="14" max="14" width="9.85546875" style="125" customWidth="1"/>
    <col min="15" max="15" width="11.7109375" style="125" customWidth="1"/>
    <col min="16" max="16384" width="9.140625" style="125"/>
  </cols>
  <sheetData>
    <row r="1" spans="1:15">
      <c r="B1" s="486" t="str">
        <f>+'Datos iniciales'!C4</f>
        <v>ALFA</v>
      </c>
      <c r="C1" s="486"/>
      <c r="D1" s="485" t="s">
        <v>62</v>
      </c>
      <c r="E1" s="245" t="str">
        <f>+IF('2 Financiación'!F7&gt;E7,'2 Financiación'!F7-E7,"--")</f>
        <v>--</v>
      </c>
      <c r="F1" s="246" t="str">
        <f>+IF('2 Financiación'!F7&gt;E7,"Sobra Finançament","--")</f>
        <v>--</v>
      </c>
      <c r="G1" s="247"/>
      <c r="H1" s="248"/>
      <c r="I1" s="245" t="str">
        <f>+IF('2 Financiación'!I7&gt;I7,'2 Financiación'!I7-I7,"--")</f>
        <v>--</v>
      </c>
      <c r="J1" s="246" t="str">
        <f>+IF('2 Financiación'!I7&gt;I7,"Sobra Finançament","--")</f>
        <v>--</v>
      </c>
      <c r="K1" s="247"/>
      <c r="L1" s="248"/>
      <c r="M1" s="245" t="str">
        <f>+IF('2 Financiación'!L7&gt;M7,'2 Financiación'!L7-M7,"--")</f>
        <v>--</v>
      </c>
      <c r="N1" s="246" t="str">
        <f>+IF('2 Financiación'!L7&gt;M7,"Sobra Finançament","--")</f>
        <v>--</v>
      </c>
      <c r="O1" s="249"/>
    </row>
    <row r="2" spans="1:15">
      <c r="A2" s="249"/>
      <c r="D2" s="485"/>
      <c r="E2" s="245" t="str">
        <f>+IF('2 Financiación'!F7&lt;E7,'2 Financiación'!F7-E7,"--")</f>
        <v>--</v>
      </c>
      <c r="F2" s="250" t="str">
        <f>+IF('2 Financiación'!F7&lt;E7,"Falta Finançament","--")</f>
        <v>--</v>
      </c>
      <c r="G2" s="247"/>
      <c r="H2" s="248"/>
      <c r="I2" s="245" t="str">
        <f>+IF('2 Financiación'!I7&lt;I7,'2 Financiación'!I7-I7,"--")</f>
        <v>--</v>
      </c>
      <c r="J2" s="250" t="str">
        <f>+IF('2 Financiación'!I7&lt;I7,"Falta Finançament","--")</f>
        <v>--</v>
      </c>
      <c r="K2" s="247"/>
      <c r="L2" s="248"/>
      <c r="M2" s="245" t="str">
        <f>+IF('2 Financiación'!L7&lt;M7,'2 Financiación'!L7-M7,"--")</f>
        <v>--</v>
      </c>
      <c r="N2" s="250" t="str">
        <f>+IF('2 Financiación'!L7&lt;M7,"Falta Finançament","--")</f>
        <v>--</v>
      </c>
      <c r="O2" s="249"/>
    </row>
    <row r="3" spans="1:15" ht="5.25" customHeight="1"/>
    <row r="4" spans="1:15" s="252" customFormat="1">
      <c r="B4" s="253"/>
      <c r="C4" s="253"/>
      <c r="D4" s="253"/>
      <c r="E4" s="254">
        <f>+'Datos iniciales'!C8</f>
        <v>2014</v>
      </c>
      <c r="F4" s="243" t="s">
        <v>21</v>
      </c>
      <c r="G4" s="243" t="str">
        <f>+CONCATENATE("Amort. ",E4)</f>
        <v>Amort. 2014</v>
      </c>
      <c r="H4" s="255"/>
      <c r="I4" s="254">
        <f>+E4+1</f>
        <v>2015</v>
      </c>
      <c r="J4" s="243" t="s">
        <v>21</v>
      </c>
      <c r="K4" s="243" t="str">
        <f>+CONCATENATE("Amort. ",I4)</f>
        <v>Amort. 2015</v>
      </c>
      <c r="L4" s="255"/>
      <c r="M4" s="254">
        <f>+I4+1</f>
        <v>2016</v>
      </c>
      <c r="N4" s="243" t="s">
        <v>21</v>
      </c>
      <c r="O4" s="256" t="str">
        <f>+CONCATENATE("Amort. ",M4)</f>
        <v>Amort. 2016</v>
      </c>
    </row>
    <row r="5" spans="1:15" s="252" customFormat="1" ht="14.25" thickBot="1">
      <c r="B5" s="257"/>
      <c r="C5" s="257"/>
      <c r="D5" s="257"/>
      <c r="E5" s="258" t="s">
        <v>22</v>
      </c>
      <c r="F5" s="259" t="s">
        <v>212</v>
      </c>
      <c r="G5" s="258" t="s">
        <v>22</v>
      </c>
      <c r="H5" s="260"/>
      <c r="I5" s="258" t="s">
        <v>22</v>
      </c>
      <c r="J5" s="259" t="s">
        <v>212</v>
      </c>
      <c r="K5" s="258" t="s">
        <v>22</v>
      </c>
      <c r="L5" s="260"/>
      <c r="M5" s="258" t="s">
        <v>22</v>
      </c>
      <c r="N5" s="259" t="s">
        <v>212</v>
      </c>
      <c r="O5" s="261" t="s">
        <v>22</v>
      </c>
    </row>
    <row r="6" spans="1:15" ht="4.5" customHeight="1">
      <c r="E6" s="244"/>
      <c r="F6" s="244"/>
      <c r="G6" s="244"/>
      <c r="H6" s="262"/>
      <c r="I6" s="244"/>
      <c r="J6" s="244"/>
      <c r="K6" s="244"/>
      <c r="L6" s="262"/>
      <c r="M6" s="244"/>
      <c r="N6" s="244"/>
      <c r="O6" s="244"/>
    </row>
    <row r="7" spans="1:15" ht="18.75" customHeight="1" thickBot="1">
      <c r="B7" s="263" t="s">
        <v>39</v>
      </c>
      <c r="C7" s="264"/>
      <c r="D7" s="264"/>
      <c r="E7" s="265">
        <f>+E9+E18+E31+E37+E42</f>
        <v>86752.35</v>
      </c>
      <c r="F7" s="265"/>
      <c r="G7" s="265">
        <f>+G9+G18+G31</f>
        <v>13339.333333333334</v>
      </c>
      <c r="H7" s="266"/>
      <c r="I7" s="265">
        <f>+I9+I18+I31+I37+I42</f>
        <v>88415.91</v>
      </c>
      <c r="J7" s="264"/>
      <c r="K7" s="265">
        <f>+K9+K18+K31</f>
        <v>57678.666666666664</v>
      </c>
      <c r="L7" s="266"/>
      <c r="M7" s="265">
        <f>+M9+M18+M31+M37+M42</f>
        <v>88459.47</v>
      </c>
      <c r="N7" s="264"/>
      <c r="O7" s="267">
        <f>+O9+O18+O31</f>
        <v>20684.666666666668</v>
      </c>
    </row>
    <row r="8" spans="1:15" ht="4.5" customHeight="1"/>
    <row r="9" spans="1:15" ht="14.25" thickBot="1">
      <c r="B9" s="154" t="s">
        <v>230</v>
      </c>
      <c r="C9" s="154"/>
      <c r="D9" s="154"/>
      <c r="E9" s="151">
        <f>+SUM(E11:E16)</f>
        <v>21000</v>
      </c>
      <c r="F9" s="151"/>
      <c r="G9" s="151">
        <f>+SUM(G11:G16)</f>
        <v>5666.666666666667</v>
      </c>
      <c r="H9" s="268"/>
      <c r="I9" s="153">
        <f>+SUM(I11:I16)</f>
        <v>21000</v>
      </c>
      <c r="J9" s="269"/>
      <c r="K9" s="153">
        <f>+SUM(K11:K16)</f>
        <v>5666.666666666667</v>
      </c>
      <c r="L9" s="268"/>
      <c r="M9" s="270">
        <f>+SUM(M11:M16)</f>
        <v>21000</v>
      </c>
      <c r="N9" s="271"/>
      <c r="O9" s="155">
        <f>+SUM(O11:O16)</f>
        <v>5666.666666666667</v>
      </c>
    </row>
    <row r="10" spans="1:15" ht="4.5" customHeight="1">
      <c r="E10" s="160"/>
      <c r="F10" s="160"/>
      <c r="G10" s="160"/>
      <c r="I10" s="272"/>
      <c r="J10" s="272"/>
      <c r="K10" s="272"/>
      <c r="M10" s="273"/>
      <c r="N10" s="273"/>
      <c r="O10" s="273"/>
    </row>
    <row r="11" spans="1:15">
      <c r="C11" s="274" t="s">
        <v>231</v>
      </c>
      <c r="D11" s="274"/>
      <c r="E11" s="97">
        <v>1000</v>
      </c>
      <c r="F11" s="97">
        <v>3</v>
      </c>
      <c r="G11" s="275">
        <f>IF(F11=0,0,E11/F11)</f>
        <v>333.33333333333331</v>
      </c>
      <c r="H11" s="276"/>
      <c r="I11" s="97">
        <v>1000</v>
      </c>
      <c r="J11" s="98">
        <v>3</v>
      </c>
      <c r="K11" s="277">
        <f>IF(J11=0,0,I11/J11)</f>
        <v>333.33333333333331</v>
      </c>
      <c r="L11" s="276"/>
      <c r="M11" s="97">
        <v>1000</v>
      </c>
      <c r="N11" s="99">
        <v>3</v>
      </c>
      <c r="O11" s="278">
        <f>IF(N11=0,0,M11/N11)</f>
        <v>333.33333333333331</v>
      </c>
    </row>
    <row r="12" spans="1:15">
      <c r="C12" s="279" t="s">
        <v>232</v>
      </c>
      <c r="D12" s="279"/>
      <c r="E12" s="97">
        <v>2000</v>
      </c>
      <c r="F12" s="97">
        <v>3</v>
      </c>
      <c r="G12" s="275">
        <f>IF(F12=0,0,E12/F12)</f>
        <v>666.66666666666663</v>
      </c>
      <c r="H12" s="276"/>
      <c r="I12" s="97">
        <v>2000</v>
      </c>
      <c r="J12" s="98">
        <v>3</v>
      </c>
      <c r="K12" s="277">
        <f>IF(J12=0,0,I12/J12)</f>
        <v>666.66666666666663</v>
      </c>
      <c r="L12" s="276"/>
      <c r="M12" s="97">
        <v>2000</v>
      </c>
      <c r="N12" s="99">
        <v>3</v>
      </c>
      <c r="O12" s="278">
        <f>IF(N12=0,0,M12/N12)</f>
        <v>666.66666666666663</v>
      </c>
    </row>
    <row r="13" spans="1:15">
      <c r="C13" s="279" t="s">
        <v>233</v>
      </c>
      <c r="D13" s="279"/>
      <c r="E13" s="97">
        <v>3000</v>
      </c>
      <c r="F13" s="97">
        <v>3</v>
      </c>
      <c r="G13" s="275">
        <f>IF(F13=0,0,E13/F13)</f>
        <v>1000</v>
      </c>
      <c r="H13" s="276"/>
      <c r="I13" s="97">
        <v>3000</v>
      </c>
      <c r="J13" s="98">
        <v>3</v>
      </c>
      <c r="K13" s="277">
        <f>IF(J13=0,0,I13/J13)</f>
        <v>1000</v>
      </c>
      <c r="L13" s="276"/>
      <c r="M13" s="97">
        <v>3000</v>
      </c>
      <c r="N13" s="99">
        <v>3</v>
      </c>
      <c r="O13" s="278">
        <f>IF(N13=0,0,M13/N13)</f>
        <v>1000</v>
      </c>
    </row>
    <row r="14" spans="1:15">
      <c r="C14" s="279" t="s">
        <v>234</v>
      </c>
      <c r="D14" s="279"/>
      <c r="E14" s="97">
        <v>4000</v>
      </c>
      <c r="F14" s="119"/>
      <c r="G14" s="275"/>
      <c r="H14" s="276"/>
      <c r="I14" s="97">
        <v>4000</v>
      </c>
      <c r="J14" s="460"/>
      <c r="K14" s="280"/>
      <c r="L14" s="276"/>
      <c r="M14" s="97">
        <v>4000</v>
      </c>
      <c r="N14" s="461"/>
      <c r="O14" s="281"/>
    </row>
    <row r="15" spans="1:15">
      <c r="C15" s="279" t="s">
        <v>235</v>
      </c>
      <c r="D15" s="279"/>
      <c r="E15" s="97">
        <v>5000</v>
      </c>
      <c r="F15" s="97">
        <v>3</v>
      </c>
      <c r="G15" s="275">
        <f>IF(F15=0,0,E15/F15)</f>
        <v>1666.6666666666667</v>
      </c>
      <c r="H15" s="276"/>
      <c r="I15" s="97">
        <v>5000</v>
      </c>
      <c r="J15" s="98">
        <v>3</v>
      </c>
      <c r="K15" s="277">
        <f>IF(J15=0,0,I15/J15)</f>
        <v>1666.6666666666667</v>
      </c>
      <c r="L15" s="276"/>
      <c r="M15" s="97">
        <v>5000</v>
      </c>
      <c r="N15" s="99">
        <v>3</v>
      </c>
      <c r="O15" s="278">
        <f>IF(N15=0,0,M15/N15)</f>
        <v>1666.6666666666667</v>
      </c>
    </row>
    <row r="16" spans="1:15">
      <c r="C16" s="279" t="s">
        <v>236</v>
      </c>
      <c r="D16" s="279"/>
      <c r="E16" s="97">
        <v>6000</v>
      </c>
      <c r="F16" s="97">
        <v>3</v>
      </c>
      <c r="G16" s="275">
        <f>IF(F16=0,0,E16/F16)</f>
        <v>2000</v>
      </c>
      <c r="H16" s="276"/>
      <c r="I16" s="97">
        <v>6000</v>
      </c>
      <c r="J16" s="98">
        <v>3</v>
      </c>
      <c r="K16" s="277">
        <f>IF(J16=0,0,I16/J16)</f>
        <v>2000</v>
      </c>
      <c r="L16" s="276"/>
      <c r="M16" s="97">
        <v>6000</v>
      </c>
      <c r="N16" s="99">
        <v>3</v>
      </c>
      <c r="O16" s="278">
        <f>IF(N16=0,0,M16/N16)</f>
        <v>2000</v>
      </c>
    </row>
    <row r="17" spans="2:15" ht="4.5" customHeight="1">
      <c r="E17" s="160"/>
      <c r="F17" s="160"/>
      <c r="G17" s="160"/>
      <c r="I17" s="272"/>
      <c r="J17" s="272"/>
      <c r="K17" s="272"/>
      <c r="M17" s="273"/>
      <c r="N17" s="273"/>
      <c r="O17" s="273"/>
    </row>
    <row r="18" spans="2:15" ht="14.25" thickBot="1">
      <c r="B18" s="154" t="s">
        <v>140</v>
      </c>
      <c r="C18" s="154"/>
      <c r="D18" s="154"/>
      <c r="E18" s="151">
        <f>+SUM(E20:E29)</f>
        <v>30000</v>
      </c>
      <c r="F18" s="151"/>
      <c r="G18" s="151">
        <f>+SUM(G20:G29)</f>
        <v>7666.666666666667</v>
      </c>
      <c r="H18" s="268"/>
      <c r="I18" s="153">
        <f>+SUM(I20:I29)</f>
        <v>52000</v>
      </c>
      <c r="J18" s="269"/>
      <c r="K18" s="153">
        <f>+SUM(K20:K29)</f>
        <v>52000</v>
      </c>
      <c r="L18" s="268"/>
      <c r="M18" s="270">
        <f>+SUM(M20:M29)</f>
        <v>52000</v>
      </c>
      <c r="N18" s="271"/>
      <c r="O18" s="155">
        <f>+SUM(O20:O29)</f>
        <v>15000</v>
      </c>
    </row>
    <row r="19" spans="2:15" ht="4.5" customHeight="1">
      <c r="E19" s="160"/>
      <c r="F19" s="160"/>
      <c r="G19" s="160"/>
      <c r="I19" s="272"/>
      <c r="J19" s="272"/>
      <c r="K19" s="272"/>
      <c r="M19" s="273"/>
      <c r="N19" s="273"/>
      <c r="O19" s="273"/>
    </row>
    <row r="20" spans="2:15">
      <c r="C20" s="282" t="s">
        <v>213</v>
      </c>
      <c r="D20" s="282"/>
      <c r="E20" s="97">
        <v>7000</v>
      </c>
      <c r="F20" s="119"/>
      <c r="G20" s="283"/>
      <c r="H20" s="276"/>
      <c r="I20" s="97">
        <v>7000</v>
      </c>
      <c r="J20" s="120"/>
      <c r="K20" s="457">
        <v>7000</v>
      </c>
      <c r="L20" s="276"/>
      <c r="M20" s="97">
        <v>7000</v>
      </c>
      <c r="N20" s="121"/>
      <c r="O20" s="281"/>
    </row>
    <row r="21" spans="2:15">
      <c r="C21" s="282" t="s">
        <v>214</v>
      </c>
      <c r="D21" s="282"/>
      <c r="E21" s="97">
        <v>1000</v>
      </c>
      <c r="F21" s="97">
        <v>3</v>
      </c>
      <c r="G21" s="283">
        <f t="shared" ref="G21:G29" si="0">IF(F21=0,0,E21/F21)</f>
        <v>333.33333333333331</v>
      </c>
      <c r="H21" s="284"/>
      <c r="I21" s="97">
        <v>8000</v>
      </c>
      <c r="J21" s="98">
        <v>3</v>
      </c>
      <c r="K21" s="457">
        <v>8000</v>
      </c>
      <c r="L21" s="284"/>
      <c r="M21" s="97">
        <v>8000</v>
      </c>
      <c r="N21" s="99">
        <v>3</v>
      </c>
      <c r="O21" s="286">
        <f t="shared" ref="O21:O29" si="1">IF(N21=0,0,M21/N21)</f>
        <v>2666.6666666666665</v>
      </c>
    </row>
    <row r="22" spans="2:15">
      <c r="C22" s="282" t="s">
        <v>215</v>
      </c>
      <c r="D22" s="282"/>
      <c r="E22" s="97">
        <v>9000</v>
      </c>
      <c r="F22" s="97">
        <v>3</v>
      </c>
      <c r="G22" s="283">
        <f t="shared" si="0"/>
        <v>3000</v>
      </c>
      <c r="H22" s="284"/>
      <c r="I22" s="97">
        <v>9000</v>
      </c>
      <c r="J22" s="98">
        <v>3</v>
      </c>
      <c r="K22" s="457">
        <v>9000</v>
      </c>
      <c r="L22" s="284"/>
      <c r="M22" s="97">
        <v>9000</v>
      </c>
      <c r="N22" s="99">
        <v>3</v>
      </c>
      <c r="O22" s="286">
        <f t="shared" si="1"/>
        <v>3000</v>
      </c>
    </row>
    <row r="23" spans="2:15">
      <c r="C23" s="282" t="s">
        <v>216</v>
      </c>
      <c r="D23" s="282"/>
      <c r="E23" s="97">
        <v>4000</v>
      </c>
      <c r="F23" s="97">
        <v>3</v>
      </c>
      <c r="G23" s="283">
        <f t="shared" si="0"/>
        <v>1333.3333333333333</v>
      </c>
      <c r="H23" s="284"/>
      <c r="I23" s="97">
        <v>10000</v>
      </c>
      <c r="J23" s="98">
        <v>3</v>
      </c>
      <c r="K23" s="457">
        <v>10000</v>
      </c>
      <c r="L23" s="284"/>
      <c r="M23" s="97">
        <v>10000</v>
      </c>
      <c r="N23" s="99">
        <v>3</v>
      </c>
      <c r="O23" s="286">
        <f t="shared" si="1"/>
        <v>3333.3333333333335</v>
      </c>
    </row>
    <row r="24" spans="2:15">
      <c r="C24" s="282" t="s">
        <v>217</v>
      </c>
      <c r="D24" s="282"/>
      <c r="E24" s="97">
        <v>2000</v>
      </c>
      <c r="F24" s="97">
        <v>3</v>
      </c>
      <c r="G24" s="283">
        <f t="shared" si="0"/>
        <v>666.66666666666663</v>
      </c>
      <c r="H24" s="284"/>
      <c r="I24" s="97">
        <v>11000</v>
      </c>
      <c r="J24" s="98">
        <v>3</v>
      </c>
      <c r="K24" s="457">
        <v>11000</v>
      </c>
      <c r="L24" s="284"/>
      <c r="M24" s="97">
        <v>11000</v>
      </c>
      <c r="N24" s="99">
        <v>3</v>
      </c>
      <c r="O24" s="286">
        <f t="shared" si="1"/>
        <v>3666.6666666666665</v>
      </c>
    </row>
    <row r="25" spans="2:15">
      <c r="C25" s="282" t="s">
        <v>218</v>
      </c>
      <c r="D25" s="282"/>
      <c r="E25" s="97">
        <v>1200</v>
      </c>
      <c r="F25" s="97">
        <v>3</v>
      </c>
      <c r="G25" s="283">
        <f t="shared" si="0"/>
        <v>400</v>
      </c>
      <c r="H25" s="284"/>
      <c r="I25" s="97">
        <v>1200</v>
      </c>
      <c r="J25" s="98">
        <v>3</v>
      </c>
      <c r="K25" s="457">
        <v>1200</v>
      </c>
      <c r="L25" s="284"/>
      <c r="M25" s="97">
        <v>1200</v>
      </c>
      <c r="N25" s="99">
        <v>3</v>
      </c>
      <c r="O25" s="286">
        <f t="shared" si="1"/>
        <v>400</v>
      </c>
    </row>
    <row r="26" spans="2:15">
      <c r="C26" s="282" t="s">
        <v>219</v>
      </c>
      <c r="D26" s="282"/>
      <c r="E26" s="97">
        <v>1300</v>
      </c>
      <c r="F26" s="97">
        <v>3</v>
      </c>
      <c r="G26" s="283">
        <f t="shared" si="0"/>
        <v>433.33333333333331</v>
      </c>
      <c r="H26" s="284"/>
      <c r="I26" s="97">
        <v>1300</v>
      </c>
      <c r="J26" s="98">
        <v>3</v>
      </c>
      <c r="K26" s="457">
        <v>1300</v>
      </c>
      <c r="L26" s="284"/>
      <c r="M26" s="97">
        <v>1300</v>
      </c>
      <c r="N26" s="99">
        <v>3</v>
      </c>
      <c r="O26" s="286">
        <f t="shared" si="1"/>
        <v>433.33333333333331</v>
      </c>
    </row>
    <row r="27" spans="2:15">
      <c r="C27" s="282" t="s">
        <v>220</v>
      </c>
      <c r="D27" s="282"/>
      <c r="E27" s="97">
        <v>1400</v>
      </c>
      <c r="F27" s="97">
        <v>3</v>
      </c>
      <c r="G27" s="283">
        <f t="shared" si="0"/>
        <v>466.66666666666669</v>
      </c>
      <c r="H27" s="284"/>
      <c r="I27" s="97">
        <v>1400</v>
      </c>
      <c r="J27" s="98">
        <v>3</v>
      </c>
      <c r="K27" s="457">
        <v>1400</v>
      </c>
      <c r="L27" s="284"/>
      <c r="M27" s="97">
        <v>1400</v>
      </c>
      <c r="N27" s="99">
        <v>3</v>
      </c>
      <c r="O27" s="286">
        <f t="shared" si="1"/>
        <v>466.66666666666669</v>
      </c>
    </row>
    <row r="28" spans="2:15">
      <c r="C28" s="282" t="s">
        <v>221</v>
      </c>
      <c r="D28" s="282"/>
      <c r="E28" s="97">
        <v>1500</v>
      </c>
      <c r="F28" s="97">
        <v>3</v>
      </c>
      <c r="G28" s="283">
        <f t="shared" si="0"/>
        <v>500</v>
      </c>
      <c r="H28" s="284"/>
      <c r="I28" s="97">
        <v>1500</v>
      </c>
      <c r="J28" s="98">
        <v>3</v>
      </c>
      <c r="K28" s="457">
        <v>1500</v>
      </c>
      <c r="L28" s="284"/>
      <c r="M28" s="97">
        <v>1500</v>
      </c>
      <c r="N28" s="99">
        <v>3</v>
      </c>
      <c r="O28" s="286">
        <f t="shared" si="1"/>
        <v>500</v>
      </c>
    </row>
    <row r="29" spans="2:15">
      <c r="C29" s="282" t="s">
        <v>222</v>
      </c>
      <c r="D29" s="282"/>
      <c r="E29" s="97">
        <v>1600</v>
      </c>
      <c r="F29" s="97">
        <v>3</v>
      </c>
      <c r="G29" s="283">
        <f t="shared" si="0"/>
        <v>533.33333333333337</v>
      </c>
      <c r="H29" s="284"/>
      <c r="I29" s="97">
        <v>1600</v>
      </c>
      <c r="J29" s="98">
        <v>3</v>
      </c>
      <c r="K29" s="457">
        <v>1600</v>
      </c>
      <c r="L29" s="284"/>
      <c r="M29" s="97">
        <v>1600</v>
      </c>
      <c r="N29" s="99">
        <v>3</v>
      </c>
      <c r="O29" s="286">
        <f t="shared" si="1"/>
        <v>533.33333333333337</v>
      </c>
    </row>
    <row r="30" spans="2:15" ht="4.5" customHeight="1">
      <c r="E30" s="160"/>
      <c r="F30" s="160"/>
      <c r="G30" s="160"/>
      <c r="I30" s="272"/>
      <c r="J30" s="272"/>
      <c r="K30" s="272"/>
      <c r="M30" s="273"/>
      <c r="N30" s="273"/>
      <c r="O30" s="273"/>
    </row>
    <row r="31" spans="2:15" ht="14.25" thickBot="1">
      <c r="B31" s="154" t="s">
        <v>141</v>
      </c>
      <c r="C31" s="154"/>
      <c r="D31" s="154"/>
      <c r="E31" s="151">
        <f>+SUM(E33:E34)</f>
        <v>35</v>
      </c>
      <c r="F31" s="151"/>
      <c r="G31" s="151">
        <f>+SUM(G33:G34)</f>
        <v>6</v>
      </c>
      <c r="H31" s="268"/>
      <c r="I31" s="153">
        <f>+SUM(I33:I34)</f>
        <v>71</v>
      </c>
      <c r="J31" s="269"/>
      <c r="K31" s="153">
        <f>+SUM(K33:K34)</f>
        <v>12</v>
      </c>
      <c r="L31" s="268"/>
      <c r="M31" s="270">
        <f>+SUM(M33:M34)</f>
        <v>107</v>
      </c>
      <c r="N31" s="271"/>
      <c r="O31" s="155">
        <f>+SUM(O33:O34)</f>
        <v>18</v>
      </c>
    </row>
    <row r="32" spans="2:15" ht="4.5" customHeight="1">
      <c r="E32" s="160"/>
      <c r="F32" s="160"/>
      <c r="G32" s="160"/>
      <c r="I32" s="272"/>
      <c r="J32" s="272"/>
      <c r="K32" s="272"/>
      <c r="M32" s="273"/>
      <c r="N32" s="273"/>
      <c r="O32" s="273"/>
    </row>
    <row r="33" spans="2:15">
      <c r="C33" s="282" t="s">
        <v>223</v>
      </c>
      <c r="D33" s="282"/>
      <c r="E33" s="97">
        <v>17</v>
      </c>
      <c r="F33" s="119"/>
      <c r="G33" s="275"/>
      <c r="H33" s="276"/>
      <c r="I33" s="98">
        <v>35</v>
      </c>
      <c r="J33" s="120"/>
      <c r="K33" s="280"/>
      <c r="L33" s="276"/>
      <c r="M33" s="99">
        <v>53</v>
      </c>
      <c r="N33" s="121"/>
      <c r="O33" s="281"/>
    </row>
    <row r="34" spans="2:15">
      <c r="C34" s="282" t="s">
        <v>224</v>
      </c>
      <c r="D34" s="282"/>
      <c r="E34" s="97">
        <v>18</v>
      </c>
      <c r="F34" s="97">
        <v>3</v>
      </c>
      <c r="G34" s="287">
        <f>IF(F34=0,0,E34/F34)</f>
        <v>6</v>
      </c>
      <c r="H34" s="284"/>
      <c r="I34" s="98">
        <v>36</v>
      </c>
      <c r="J34" s="98">
        <v>3</v>
      </c>
      <c r="K34" s="285">
        <f>IF(J34=0,0,I34/J34)</f>
        <v>12</v>
      </c>
      <c r="L34" s="284"/>
      <c r="M34" s="99">
        <v>54</v>
      </c>
      <c r="N34" s="99">
        <v>3</v>
      </c>
      <c r="O34" s="286">
        <f>IF(N34=0,0,M34/N34)</f>
        <v>18</v>
      </c>
    </row>
    <row r="35" spans="2:15" ht="4.5" customHeight="1">
      <c r="E35" s="160"/>
      <c r="F35" s="160"/>
      <c r="G35" s="160"/>
      <c r="I35" s="272"/>
      <c r="J35" s="272"/>
      <c r="K35" s="272"/>
      <c r="M35" s="273"/>
      <c r="N35" s="273"/>
      <c r="O35" s="273"/>
    </row>
    <row r="36" spans="2:15" ht="4.5" customHeight="1">
      <c r="E36" s="160"/>
      <c r="F36" s="160"/>
      <c r="G36" s="160"/>
      <c r="I36" s="272"/>
      <c r="J36" s="272"/>
      <c r="K36" s="272"/>
      <c r="M36" s="273"/>
      <c r="N36" s="273"/>
      <c r="O36" s="273"/>
    </row>
    <row r="37" spans="2:15" ht="14.25" thickBot="1">
      <c r="B37" s="154" t="s">
        <v>229</v>
      </c>
      <c r="C37" s="154"/>
      <c r="D37" s="154"/>
      <c r="E37" s="288">
        <f>+SUM(E39:E40)</f>
        <v>25000</v>
      </c>
      <c r="F37" s="216"/>
      <c r="G37" s="216"/>
      <c r="H37" s="289"/>
      <c r="I37" s="272"/>
      <c r="J37" s="272"/>
      <c r="K37" s="218"/>
      <c r="L37" s="289"/>
      <c r="M37" s="273"/>
      <c r="N37" s="273"/>
      <c r="O37" s="221"/>
    </row>
    <row r="38" spans="2:15" ht="4.5" customHeight="1">
      <c r="E38" s="160"/>
      <c r="F38" s="160"/>
      <c r="G38" s="160"/>
      <c r="I38" s="272"/>
      <c r="J38" s="272"/>
      <c r="K38" s="272"/>
      <c r="M38" s="273"/>
      <c r="N38" s="273"/>
      <c r="O38" s="273"/>
    </row>
    <row r="39" spans="2:15">
      <c r="C39" s="282" t="s">
        <v>225</v>
      </c>
      <c r="D39" s="282"/>
      <c r="E39" s="97">
        <v>5000</v>
      </c>
      <c r="F39" s="160"/>
      <c r="G39" s="160"/>
      <c r="I39" s="272"/>
      <c r="J39" s="272"/>
      <c r="K39" s="272"/>
      <c r="M39" s="273"/>
      <c r="N39" s="273"/>
      <c r="O39" s="273"/>
    </row>
    <row r="40" spans="2:15">
      <c r="C40" s="282" t="s">
        <v>226</v>
      </c>
      <c r="D40" s="282"/>
      <c r="E40" s="97">
        <v>20000</v>
      </c>
      <c r="F40" s="160"/>
      <c r="G40" s="160"/>
      <c r="I40" s="272"/>
      <c r="J40" s="272"/>
      <c r="K40" s="272"/>
      <c r="M40" s="273"/>
      <c r="N40" s="273"/>
      <c r="O40" s="273"/>
    </row>
    <row r="42" spans="2:15" ht="14.25" thickBot="1">
      <c r="B42" s="154" t="s">
        <v>227</v>
      </c>
      <c r="C42" s="154"/>
      <c r="D42" s="154"/>
      <c r="E42" s="151">
        <f>+E44</f>
        <v>10717.35</v>
      </c>
      <c r="F42" s="151"/>
      <c r="G42" s="151"/>
      <c r="H42" s="268"/>
      <c r="I42" s="153">
        <f>+I44</f>
        <v>15344.91</v>
      </c>
      <c r="J42" s="269"/>
      <c r="K42" s="153"/>
      <c r="L42" s="268"/>
      <c r="M42" s="270">
        <f>+M44</f>
        <v>15352.47</v>
      </c>
      <c r="N42" s="271"/>
      <c r="O42" s="155"/>
    </row>
    <row r="43" spans="2:15" ht="4.5" customHeight="1">
      <c r="E43" s="160"/>
      <c r="F43" s="160"/>
      <c r="G43" s="160"/>
      <c r="I43" s="272"/>
      <c r="J43" s="272"/>
      <c r="K43" s="272"/>
      <c r="M43" s="273"/>
      <c r="N43" s="273"/>
      <c r="O43" s="273"/>
    </row>
    <row r="44" spans="2:15">
      <c r="C44" s="282" t="s">
        <v>228</v>
      </c>
      <c r="D44" s="282"/>
      <c r="E44" s="457">
        <f>+(E9+E18+E31)*'Datos iniciales'!C13</f>
        <v>10717.35</v>
      </c>
      <c r="F44" s="119"/>
      <c r="G44" s="275"/>
      <c r="H44" s="276"/>
      <c r="I44" s="458">
        <f>+(I9+I18+I31)*'Datos iniciales'!C13</f>
        <v>15344.91</v>
      </c>
      <c r="J44" s="120"/>
      <c r="K44" s="280"/>
      <c r="L44" s="276"/>
      <c r="M44" s="459">
        <f>+(M9+M18+M31)*'Datos iniciales'!C13</f>
        <v>15352.47</v>
      </c>
      <c r="N44" s="121"/>
      <c r="O44" s="281"/>
    </row>
  </sheetData>
  <mergeCells count="2">
    <mergeCell ref="D1:D2"/>
    <mergeCell ref="B1:C1"/>
  </mergeCells>
  <phoneticPr fontId="2" type="noConversion"/>
  <pageMargins left="0.2" right="0.2" top="1" bottom="1" header="0" footer="0"/>
  <pageSetup paperSize="9" scale="8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 enableFormatConditionsCalculation="0">
    <tabColor indexed="16"/>
  </sheetPr>
  <dimension ref="A1:M40"/>
  <sheetViews>
    <sheetView showGridLines="0" workbookViewId="0">
      <selection activeCell="L35" sqref="L35"/>
    </sheetView>
  </sheetViews>
  <sheetFormatPr baseColWidth="10" defaultColWidth="9.140625" defaultRowHeight="13.5"/>
  <cols>
    <col min="1" max="1" width="5.85546875" style="125" bestFit="1" customWidth="1"/>
    <col min="2" max="2" width="6.28515625" style="125" customWidth="1"/>
    <col min="3" max="3" width="27.28515625" style="125" bestFit="1" customWidth="1"/>
    <col min="4" max="4" width="10.42578125" style="125" customWidth="1"/>
    <col min="5" max="5" width="9.7109375" style="125" customWidth="1"/>
    <col min="6" max="6" width="13.85546875" style="125" customWidth="1"/>
    <col min="7" max="7" width="16.140625" style="193" bestFit="1" customWidth="1"/>
    <col min="8" max="8" width="0.7109375" style="193" customWidth="1"/>
    <col min="9" max="9" width="16.140625" style="125" customWidth="1"/>
    <col min="10" max="10" width="16.42578125" style="125" customWidth="1"/>
    <col min="11" max="11" width="0.7109375" style="125" customWidth="1"/>
    <col min="12" max="12" width="13.85546875" style="125" customWidth="1"/>
    <col min="13" max="13" width="16.42578125" style="125" customWidth="1"/>
    <col min="14" max="16384" width="9.140625" style="125"/>
  </cols>
  <sheetData>
    <row r="1" spans="1:13">
      <c r="A1" s="249"/>
      <c r="B1" s="486" t="str">
        <f>+'Datos iniciales'!C4</f>
        <v>ALFA</v>
      </c>
      <c r="C1" s="486"/>
      <c r="D1" s="486"/>
      <c r="E1" s="485" t="s">
        <v>62</v>
      </c>
      <c r="F1" s="290" t="str">
        <f>+IF(F7&lt;'1 Inversión'!E7,F7-'1 Inversión'!E7,"--")</f>
        <v>--</v>
      </c>
      <c r="G1" s="250" t="str">
        <f>+IF(F7&lt;'1 Inversión'!E7,"Falta Finançament","--")</f>
        <v>--</v>
      </c>
      <c r="H1" s="250"/>
      <c r="I1" s="290" t="str">
        <f>+IF(I7&lt;'1 Inversión'!I7,I7-'1 Inversión'!I7,"--")</f>
        <v>--</v>
      </c>
      <c r="J1" s="250" t="str">
        <f>+IF(I7&lt;'1 Inversión'!I7,"Falta Finançament","--")</f>
        <v>--</v>
      </c>
      <c r="K1" s="250"/>
      <c r="L1" s="290" t="str">
        <f>+IF(L7&lt;'1 Inversión'!M7,L7-'1 Inversión'!M7,"--")</f>
        <v>--</v>
      </c>
      <c r="M1" s="250" t="str">
        <f>+IF(L7&lt;'1 Inversión'!M7,"Falta Finançament","--")</f>
        <v>--</v>
      </c>
    </row>
    <row r="2" spans="1:13">
      <c r="A2" s="249"/>
      <c r="B2" s="249"/>
      <c r="D2" s="245"/>
      <c r="E2" s="485"/>
      <c r="F2" s="245" t="str">
        <f>+IF(F7&gt;'1 Inversión'!E7,F7-'1 Inversión'!E7,"--")</f>
        <v>--</v>
      </c>
      <c r="G2" s="246" t="str">
        <f>+IF(F7&gt;'1 Inversión'!E7,"Sobra Finançament","--")</f>
        <v>--</v>
      </c>
      <c r="H2" s="246"/>
      <c r="I2" s="245" t="str">
        <f>+IF(I7&gt;'1 Inversión'!I7,I7-'1 Inversión'!I7,"--")</f>
        <v>--</v>
      </c>
      <c r="J2" s="246" t="str">
        <f>+IF(I7&gt;'1 Inversión'!I7,"Sobra Finançament","--")</f>
        <v>--</v>
      </c>
      <c r="K2" s="246"/>
      <c r="L2" s="245" t="str">
        <f>+IF(L7&gt;'1 Inversión'!M7,L7-'1 Inversión'!M7,"--")</f>
        <v>--</v>
      </c>
      <c r="M2" s="246" t="str">
        <f>+IF(L7&gt;'1 Inversión'!M7,"Sobra Finançament","--")</f>
        <v>--</v>
      </c>
    </row>
    <row r="4" spans="1:13">
      <c r="B4" s="166"/>
      <c r="C4" s="166"/>
      <c r="D4" s="166"/>
      <c r="E4" s="166"/>
      <c r="F4" s="291">
        <f>+'1 Inversión'!E4</f>
        <v>2014</v>
      </c>
      <c r="G4" s="292"/>
      <c r="H4" s="292"/>
      <c r="I4" s="291">
        <f>+'1 Inversión'!I4</f>
        <v>2015</v>
      </c>
      <c r="J4" s="293"/>
      <c r="K4" s="293"/>
      <c r="L4" s="291">
        <f>+'1 Inversión'!M4</f>
        <v>2016</v>
      </c>
      <c r="M4" s="294"/>
    </row>
    <row r="5" spans="1:13" ht="14.25" thickBot="1">
      <c r="B5" s="135"/>
      <c r="C5" s="135"/>
      <c r="D5" s="135"/>
      <c r="E5" s="135"/>
      <c r="F5" s="295" t="s">
        <v>22</v>
      </c>
      <c r="G5" s="296"/>
      <c r="H5" s="296"/>
      <c r="I5" s="295" t="s">
        <v>22</v>
      </c>
      <c r="J5" s="297"/>
      <c r="K5" s="297"/>
      <c r="L5" s="295" t="s">
        <v>22</v>
      </c>
      <c r="M5" s="298"/>
    </row>
    <row r="6" spans="1:13" ht="4.5" customHeight="1">
      <c r="F6" s="143"/>
      <c r="G6" s="144"/>
      <c r="H6" s="144"/>
      <c r="I6" s="143"/>
      <c r="J6" s="299"/>
      <c r="K6" s="299"/>
      <c r="L6" s="143"/>
    </row>
    <row r="7" spans="1:13" ht="18.75" customHeight="1" thickBot="1">
      <c r="B7" s="300" t="s">
        <v>47</v>
      </c>
      <c r="C7" s="301"/>
      <c r="D7" s="301"/>
      <c r="E7" s="301"/>
      <c r="F7" s="302">
        <f>+F9+F13+F18</f>
        <v>86752.35</v>
      </c>
      <c r="G7" s="303"/>
      <c r="H7" s="303"/>
      <c r="I7" s="302">
        <f>+I9+I13+I18+I25</f>
        <v>88415.909999999989</v>
      </c>
      <c r="J7" s="302"/>
      <c r="K7" s="302"/>
      <c r="L7" s="302">
        <f>+L9+L13+L18+L25</f>
        <v>88459.47</v>
      </c>
      <c r="M7" s="304"/>
    </row>
    <row r="8" spans="1:13" ht="4.5" customHeight="1" thickTop="1"/>
    <row r="9" spans="1:13" s="249" customFormat="1" thickBot="1">
      <c r="B9" s="154" t="s">
        <v>48</v>
      </c>
      <c r="C9" s="154"/>
      <c r="D9" s="154"/>
      <c r="E9" s="154"/>
      <c r="F9" s="151">
        <f>+F11</f>
        <v>20000</v>
      </c>
      <c r="G9" s="305"/>
      <c r="H9" s="306"/>
      <c r="I9" s="153">
        <f>+I11</f>
        <v>40000</v>
      </c>
      <c r="J9" s="153"/>
      <c r="K9" s="154"/>
      <c r="L9" s="270">
        <f>+L11</f>
        <v>40000</v>
      </c>
      <c r="M9" s="155"/>
    </row>
    <row r="10" spans="1:13" ht="4.5" customHeight="1">
      <c r="F10" s="160"/>
      <c r="G10" s="307"/>
      <c r="I10" s="272"/>
      <c r="J10" s="272"/>
      <c r="L10" s="273"/>
      <c r="M10" s="273"/>
    </row>
    <row r="11" spans="1:13">
      <c r="C11" s="189" t="s">
        <v>0</v>
      </c>
      <c r="D11" s="189"/>
      <c r="E11" s="189"/>
      <c r="F11" s="97">
        <v>20000</v>
      </c>
      <c r="G11" s="308"/>
      <c r="H11" s="309"/>
      <c r="I11" s="98">
        <v>40000</v>
      </c>
      <c r="J11" s="277"/>
      <c r="K11" s="310"/>
      <c r="L11" s="99">
        <v>40000</v>
      </c>
      <c r="M11" s="311"/>
    </row>
    <row r="12" spans="1:13" ht="4.5" customHeight="1">
      <c r="F12" s="160"/>
      <c r="G12" s="307"/>
      <c r="I12" s="272"/>
      <c r="J12" s="272"/>
      <c r="L12" s="273"/>
      <c r="M12" s="273"/>
    </row>
    <row r="13" spans="1:13" s="249" customFormat="1" thickBot="1">
      <c r="B13" s="154" t="s">
        <v>49</v>
      </c>
      <c r="C13" s="154"/>
      <c r="D13" s="154"/>
      <c r="E13" s="154"/>
      <c r="F13" s="151">
        <f>+F15+F16</f>
        <v>46752.35</v>
      </c>
      <c r="G13" s="305"/>
      <c r="H13" s="306"/>
      <c r="I13" s="153">
        <f>+I15+I16</f>
        <v>47831.96</v>
      </c>
      <c r="J13" s="153"/>
      <c r="K13" s="154"/>
      <c r="L13" s="270">
        <f>+L15+L16</f>
        <v>47492.479999999996</v>
      </c>
      <c r="M13" s="155"/>
    </row>
    <row r="14" spans="1:13" ht="4.5" customHeight="1">
      <c r="F14" s="160"/>
      <c r="G14" s="307"/>
      <c r="I14" s="272"/>
      <c r="J14" s="272"/>
      <c r="L14" s="273"/>
      <c r="M14" s="273"/>
    </row>
    <row r="15" spans="1:13">
      <c r="C15" s="189" t="s">
        <v>50</v>
      </c>
      <c r="D15" s="189"/>
      <c r="E15" s="189"/>
      <c r="F15" s="97">
        <v>16752.349999999999</v>
      </c>
      <c r="G15" s="308"/>
      <c r="H15" s="309"/>
      <c r="I15" s="98">
        <v>17831.96</v>
      </c>
      <c r="J15" s="277"/>
      <c r="K15" s="310"/>
      <c r="L15" s="99">
        <v>17492.48</v>
      </c>
      <c r="M15" s="311"/>
    </row>
    <row r="16" spans="1:13">
      <c r="C16" s="312" t="s">
        <v>51</v>
      </c>
      <c r="D16" s="312"/>
      <c r="E16" s="312"/>
      <c r="F16" s="97">
        <v>30000</v>
      </c>
      <c r="G16" s="308"/>
      <c r="H16" s="309"/>
      <c r="I16" s="98">
        <v>30000</v>
      </c>
      <c r="J16" s="277"/>
      <c r="K16" s="310"/>
      <c r="L16" s="99">
        <v>30000</v>
      </c>
      <c r="M16" s="311"/>
    </row>
    <row r="17" spans="2:13" ht="4.5" customHeight="1">
      <c r="F17" s="160"/>
      <c r="G17" s="307"/>
      <c r="I17" s="272"/>
      <c r="J17" s="272"/>
      <c r="L17" s="273"/>
      <c r="M17" s="273"/>
    </row>
    <row r="18" spans="2:13" s="249" customFormat="1" thickBot="1">
      <c r="B18" s="154" t="s">
        <v>52</v>
      </c>
      <c r="C18" s="154"/>
      <c r="D18" s="154"/>
      <c r="E18" s="154"/>
      <c r="F18" s="151">
        <f>+SUM(F20:F20)</f>
        <v>20000</v>
      </c>
      <c r="G18" s="305"/>
      <c r="H18" s="306"/>
      <c r="I18" s="153">
        <f>+SUM(I20:I20)</f>
        <v>583.95000000000005</v>
      </c>
      <c r="J18" s="153"/>
      <c r="K18" s="154"/>
      <c r="L18" s="270">
        <f>+SUM(L20:L20)</f>
        <v>966.99</v>
      </c>
      <c r="M18" s="155"/>
    </row>
    <row r="19" spans="2:13" ht="4.5" customHeight="1">
      <c r="F19" s="160"/>
      <c r="G19" s="307"/>
      <c r="I19" s="272"/>
      <c r="J19" s="272"/>
      <c r="L19" s="273"/>
      <c r="M19" s="273"/>
    </row>
    <row r="20" spans="2:13">
      <c r="C20" s="189" t="s">
        <v>53</v>
      </c>
      <c r="D20" s="189"/>
      <c r="E20" s="189"/>
      <c r="F20" s="97">
        <v>20000</v>
      </c>
      <c r="G20" s="308"/>
      <c r="H20" s="309"/>
      <c r="I20" s="98">
        <v>583.95000000000005</v>
      </c>
      <c r="J20" s="277"/>
      <c r="K20" s="310"/>
      <c r="L20" s="99">
        <v>966.99</v>
      </c>
      <c r="M20" s="311"/>
    </row>
    <row r="21" spans="2:13" ht="4.5" customHeight="1">
      <c r="F21" s="160"/>
      <c r="G21" s="307"/>
      <c r="I21" s="272"/>
      <c r="J21" s="272"/>
      <c r="L21" s="273"/>
      <c r="M21" s="273"/>
    </row>
    <row r="22" spans="2:13" ht="4.5" customHeight="1">
      <c r="F22" s="160"/>
      <c r="G22" s="307"/>
      <c r="I22" s="272"/>
      <c r="J22" s="272"/>
      <c r="L22" s="273"/>
      <c r="M22" s="273"/>
    </row>
    <row r="23" spans="2:13" s="249" customFormat="1" thickBot="1">
      <c r="B23" s="154" t="s">
        <v>54</v>
      </c>
      <c r="C23" s="154"/>
      <c r="D23" s="154"/>
      <c r="E23" s="154"/>
      <c r="F23" s="151"/>
      <c r="G23" s="305"/>
      <c r="H23" s="306"/>
      <c r="I23" s="153"/>
      <c r="J23" s="313" t="str">
        <f>+CONCATENATE("Saldo Tesorería ",F4)</f>
        <v>Saldo Tesorería 2014</v>
      </c>
      <c r="K23" s="154"/>
      <c r="L23" s="270"/>
      <c r="M23" s="314" t="str">
        <f>+CONCATENATE("Saldo Tesorería ",I4)</f>
        <v>Saldo Tesorería 2015</v>
      </c>
    </row>
    <row r="24" spans="2:13" ht="4.5" customHeight="1">
      <c r="F24" s="160"/>
      <c r="G24" s="307"/>
      <c r="I24" s="272"/>
      <c r="J24" s="272"/>
      <c r="L24" s="273"/>
      <c r="M24" s="273"/>
    </row>
    <row r="25" spans="2:13">
      <c r="C25" s="189" t="s">
        <v>55</v>
      </c>
      <c r="D25" s="189"/>
      <c r="E25" s="189"/>
      <c r="F25" s="189"/>
      <c r="G25" s="189"/>
      <c r="H25" s="309"/>
      <c r="I25" s="98"/>
      <c r="J25" s="315">
        <f>+'C Balance'!F38</f>
        <v>26094.170000000002</v>
      </c>
      <c r="K25" s="310"/>
      <c r="L25" s="99"/>
      <c r="M25" s="316">
        <f>+'C Balance'!I38</f>
        <v>101727.72537620769</v>
      </c>
    </row>
    <row r="26" spans="2:13">
      <c r="C26" s="166"/>
      <c r="D26" s="166"/>
      <c r="E26" s="166"/>
      <c r="F26" s="165"/>
      <c r="G26" s="317"/>
      <c r="H26" s="317"/>
      <c r="I26" s="165"/>
      <c r="J26" s="165"/>
      <c r="K26" s="165"/>
      <c r="L26" s="165"/>
      <c r="M26" s="165"/>
    </row>
    <row r="27" spans="2:13" s="163" customFormat="1">
      <c r="C27" s="165"/>
      <c r="D27" s="165"/>
      <c r="E27" s="165"/>
      <c r="F27" s="165"/>
      <c r="G27" s="317"/>
      <c r="H27" s="317"/>
      <c r="I27" s="165"/>
      <c r="J27" s="165"/>
      <c r="K27" s="165"/>
      <c r="L27" s="165"/>
      <c r="M27" s="165"/>
    </row>
    <row r="28" spans="2:13" s="163" customFormat="1" ht="4.5" customHeight="1">
      <c r="G28" s="318"/>
      <c r="H28" s="318"/>
    </row>
    <row r="29" spans="2:13" s="249" customFormat="1" thickBot="1">
      <c r="B29" s="154" t="s">
        <v>56</v>
      </c>
      <c r="C29" s="154"/>
      <c r="D29" s="154"/>
      <c r="E29" s="154"/>
      <c r="F29" s="151"/>
      <c r="G29" s="305"/>
      <c r="H29" s="306"/>
      <c r="I29" s="153"/>
      <c r="J29" s="153"/>
      <c r="K29" s="154"/>
      <c r="L29" s="270"/>
      <c r="M29" s="155"/>
    </row>
    <row r="30" spans="2:13" ht="4.5" customHeight="1">
      <c r="F30" s="160"/>
      <c r="G30" s="307"/>
      <c r="I30" s="272"/>
      <c r="J30" s="272"/>
      <c r="L30" s="273"/>
      <c r="M30" s="273"/>
    </row>
    <row r="31" spans="2:13">
      <c r="C31" s="319" t="s">
        <v>57</v>
      </c>
      <c r="D31" s="320"/>
      <c r="E31" s="189"/>
      <c r="F31" s="122">
        <v>0.05</v>
      </c>
      <c r="G31" s="308"/>
      <c r="H31" s="309"/>
      <c r="I31" s="123">
        <v>0.06</v>
      </c>
      <c r="J31" s="277"/>
      <c r="K31" s="310"/>
      <c r="L31" s="124">
        <v>0.08</v>
      </c>
      <c r="M31" s="311"/>
    </row>
    <row r="32" spans="2:13">
      <c r="C32" s="321" t="s">
        <v>58</v>
      </c>
      <c r="D32" s="322"/>
      <c r="E32" s="312"/>
      <c r="F32" s="97">
        <v>10</v>
      </c>
      <c r="G32" s="308"/>
      <c r="H32" s="309"/>
      <c r="I32" s="98">
        <v>8</v>
      </c>
      <c r="J32" s="277"/>
      <c r="K32" s="310"/>
      <c r="L32" s="99">
        <v>5</v>
      </c>
      <c r="M32" s="311"/>
    </row>
    <row r="33" spans="2:13" s="163" customFormat="1">
      <c r="C33" s="323"/>
      <c r="D33" s="324"/>
      <c r="E33" s="165"/>
      <c r="F33" s="165"/>
      <c r="G33" s="317"/>
      <c r="H33" s="317"/>
      <c r="I33" s="165"/>
      <c r="J33" s="165"/>
      <c r="K33" s="165"/>
      <c r="M33" s="165"/>
    </row>
    <row r="34" spans="2:13" s="163" customFormat="1" ht="4.5" customHeight="1">
      <c r="G34" s="318"/>
      <c r="H34" s="318"/>
    </row>
    <row r="35" spans="2:13" s="249" customFormat="1" thickBot="1">
      <c r="B35" s="154" t="s">
        <v>59</v>
      </c>
      <c r="C35" s="154"/>
      <c r="D35" s="154"/>
      <c r="E35" s="154"/>
      <c r="F35" s="151"/>
      <c r="G35" s="305"/>
      <c r="H35" s="306"/>
      <c r="I35" s="153"/>
      <c r="J35" s="153"/>
      <c r="K35" s="154"/>
      <c r="L35" s="270"/>
      <c r="M35" s="155"/>
    </row>
    <row r="36" spans="2:13" ht="4.5" customHeight="1">
      <c r="F36" s="160"/>
      <c r="G36" s="307"/>
      <c r="I36" s="272"/>
      <c r="J36" s="272"/>
      <c r="L36" s="273"/>
      <c r="M36" s="273"/>
    </row>
    <row r="37" spans="2:13">
      <c r="C37" s="319" t="s">
        <v>60</v>
      </c>
      <c r="D37" s="320"/>
      <c r="E37" s="189"/>
      <c r="F37" s="97">
        <v>4</v>
      </c>
      <c r="G37" s="308"/>
      <c r="H37" s="309"/>
      <c r="I37" s="98">
        <v>4</v>
      </c>
      <c r="J37" s="277"/>
      <c r="K37" s="310"/>
      <c r="L37" s="99">
        <v>4</v>
      </c>
      <c r="M37" s="311"/>
    </row>
    <row r="40" spans="2:13">
      <c r="B40" s="475" t="s">
        <v>61</v>
      </c>
    </row>
  </sheetData>
  <mergeCells count="2">
    <mergeCell ref="E1:E2"/>
    <mergeCell ref="B1:D1"/>
  </mergeCells>
  <phoneticPr fontId="2" type="noConversion"/>
  <pageMargins left="0.2" right="0.33" top="1" bottom="1" header="0" footer="0"/>
  <pageSetup paperSize="9"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 enableFormatConditionsCalculation="0">
    <tabColor indexed="17"/>
    <pageSetUpPr fitToPage="1"/>
  </sheetPr>
  <dimension ref="B1:W77"/>
  <sheetViews>
    <sheetView showGridLines="0" zoomScale="85" workbookViewId="0">
      <pane xSplit="3" ySplit="5" topLeftCell="J39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baseColWidth="10" defaultColWidth="9.140625" defaultRowHeight="13.5"/>
  <cols>
    <col min="1" max="1" width="4.140625" style="127" customWidth="1"/>
    <col min="2" max="2" width="9.140625" style="127" customWidth="1"/>
    <col min="3" max="3" width="30.140625" style="127" customWidth="1"/>
    <col min="4" max="15" width="9.140625" style="125" customWidth="1"/>
    <col min="16" max="16" width="0.5703125" style="126" customWidth="1"/>
    <col min="17" max="17" width="12.42578125" style="127" customWidth="1"/>
    <col min="18" max="18" width="0.5703125" style="127" customWidth="1"/>
    <col min="19" max="19" width="12.42578125" style="127" customWidth="1"/>
    <col min="20" max="20" width="0.5703125" style="128" customWidth="1"/>
    <col min="21" max="21" width="12.7109375" style="127" customWidth="1"/>
    <col min="22" max="16384" width="9.140625" style="127"/>
  </cols>
  <sheetData>
    <row r="1" spans="2:23">
      <c r="B1" s="486" t="str">
        <f>+'Datos iniciales'!C4</f>
        <v>ALFA</v>
      </c>
      <c r="C1" s="486"/>
    </row>
    <row r="3" spans="2:23" ht="19.5" customHeight="1" thickBot="1">
      <c r="B3" s="129" t="s">
        <v>64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130"/>
      <c r="T3" s="130"/>
      <c r="U3" s="132"/>
    </row>
    <row r="4" spans="2:23" s="128" customFormat="1"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26"/>
    </row>
    <row r="5" spans="2:23" s="128" customFormat="1" ht="14.25" thickBot="1">
      <c r="B5" s="135"/>
      <c r="C5" s="136">
        <f>+'Datos iniciales'!C8</f>
        <v>2014</v>
      </c>
      <c r="D5" s="137">
        <v>1</v>
      </c>
      <c r="E5" s="137">
        <v>2</v>
      </c>
      <c r="F5" s="137">
        <v>3</v>
      </c>
      <c r="G5" s="137">
        <v>4</v>
      </c>
      <c r="H5" s="137">
        <v>5</v>
      </c>
      <c r="I5" s="137">
        <v>6</v>
      </c>
      <c r="J5" s="137">
        <v>7</v>
      </c>
      <c r="K5" s="137">
        <v>8</v>
      </c>
      <c r="L5" s="137">
        <v>9</v>
      </c>
      <c r="M5" s="137">
        <v>10</v>
      </c>
      <c r="N5" s="137">
        <v>11</v>
      </c>
      <c r="O5" s="137">
        <v>12</v>
      </c>
      <c r="P5" s="138"/>
      <c r="Q5" s="139">
        <f>+C5</f>
        <v>2014</v>
      </c>
      <c r="R5" s="140"/>
      <c r="S5" s="141">
        <f>+'Cuadro Amortización'!F3</f>
        <v>2015</v>
      </c>
      <c r="T5" s="141"/>
      <c r="U5" s="142">
        <f>+'Cuadro Amortización'!I3</f>
        <v>2016</v>
      </c>
    </row>
    <row r="6" spans="2:23" s="128" customFormat="1" ht="4.5" customHeight="1">
      <c r="B6" s="125"/>
      <c r="C6" s="125"/>
      <c r="D6" s="125"/>
      <c r="E6" s="125"/>
      <c r="F6" s="143"/>
      <c r="G6" s="144"/>
      <c r="H6" s="144"/>
      <c r="I6" s="143"/>
      <c r="J6" s="134"/>
      <c r="K6" s="134"/>
      <c r="L6" s="134"/>
      <c r="M6" s="134"/>
      <c r="N6" s="134"/>
      <c r="O6" s="134"/>
      <c r="P6" s="126"/>
      <c r="Q6" s="145"/>
      <c r="S6" s="145"/>
      <c r="T6" s="145"/>
      <c r="U6" s="145"/>
    </row>
    <row r="7" spans="2:23" s="128" customFormat="1" ht="14.25" thickBot="1">
      <c r="B7" s="146"/>
      <c r="C7" s="147" t="s">
        <v>97</v>
      </c>
      <c r="D7" s="147">
        <f t="shared" ref="D7:O7" si="0">+D11+D20</f>
        <v>135</v>
      </c>
      <c r="E7" s="147">
        <f t="shared" si="0"/>
        <v>260</v>
      </c>
      <c r="F7" s="147">
        <f t="shared" si="0"/>
        <v>385</v>
      </c>
      <c r="G7" s="147">
        <f t="shared" si="0"/>
        <v>510</v>
      </c>
      <c r="H7" s="147">
        <f t="shared" si="0"/>
        <v>635</v>
      </c>
      <c r="I7" s="147">
        <f t="shared" si="0"/>
        <v>760</v>
      </c>
      <c r="J7" s="147">
        <f t="shared" si="0"/>
        <v>885</v>
      </c>
      <c r="K7" s="147">
        <f t="shared" si="0"/>
        <v>1010</v>
      </c>
      <c r="L7" s="147">
        <f t="shared" si="0"/>
        <v>1135</v>
      </c>
      <c r="M7" s="147">
        <f t="shared" si="0"/>
        <v>1260</v>
      </c>
      <c r="N7" s="147">
        <f t="shared" si="0"/>
        <v>1385</v>
      </c>
      <c r="O7" s="147">
        <f t="shared" si="0"/>
        <v>1510</v>
      </c>
      <c r="P7" s="148"/>
      <c r="Q7" s="147">
        <f>+SUM(D7:O7)</f>
        <v>9870</v>
      </c>
      <c r="R7" s="130"/>
      <c r="S7" s="147">
        <f>+S11+S20</f>
        <v>73275</v>
      </c>
      <c r="T7" s="147"/>
      <c r="U7" s="149">
        <f>+U11+U20</f>
        <v>19920</v>
      </c>
    </row>
    <row r="8" spans="2:23">
      <c r="B8" s="128"/>
      <c r="C8" s="128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Q8" s="145"/>
      <c r="S8" s="145"/>
      <c r="T8" s="145"/>
      <c r="U8" s="145"/>
    </row>
    <row r="9" spans="2:23">
      <c r="B9" s="128"/>
      <c r="C9" s="128" t="s">
        <v>98</v>
      </c>
      <c r="D9" s="445">
        <f t="shared" ref="D9:O9" si="1">+(D13*D14*$B13)+(D15*D16*$B15)+(D17*D18*$B17)+D11</f>
        <v>147.9</v>
      </c>
      <c r="E9" s="445">
        <f t="shared" si="1"/>
        <v>295.8</v>
      </c>
      <c r="F9" s="445">
        <f t="shared" si="1"/>
        <v>443.7</v>
      </c>
      <c r="G9" s="445">
        <f t="shared" si="1"/>
        <v>591.6</v>
      </c>
      <c r="H9" s="445">
        <f t="shared" si="1"/>
        <v>739.5</v>
      </c>
      <c r="I9" s="445">
        <f t="shared" si="1"/>
        <v>887.4</v>
      </c>
      <c r="J9" s="445">
        <f t="shared" si="1"/>
        <v>1035.3</v>
      </c>
      <c r="K9" s="445">
        <f t="shared" si="1"/>
        <v>1183.2</v>
      </c>
      <c r="L9" s="445">
        <f t="shared" si="1"/>
        <v>1331.1</v>
      </c>
      <c r="M9" s="445">
        <f t="shared" si="1"/>
        <v>1479</v>
      </c>
      <c r="N9" s="445">
        <f t="shared" si="1"/>
        <v>1626.9</v>
      </c>
      <c r="O9" s="445">
        <f t="shared" si="1"/>
        <v>1774.8</v>
      </c>
      <c r="Q9" s="445">
        <f>+(Q13*Q14*$B13)+(Q15*Q16*$B15)+(Q17*Q18*$B17)+Q11</f>
        <v>11536.2</v>
      </c>
      <c r="S9" s="445">
        <f>+(S13*S14*$B13)+(S15*S16*$B15)+(S17*S18*$B17)+S11</f>
        <v>88089.3</v>
      </c>
      <c r="T9" s="145"/>
      <c r="U9" s="445">
        <f>+(U13*U14*$B13)+(U15*U16*$B15)+(U17*U18*$B17)+U11</f>
        <v>23275.200000000001</v>
      </c>
    </row>
    <row r="10" spans="2:23">
      <c r="B10" s="128"/>
      <c r="C10" s="128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Q10" s="145"/>
      <c r="S10" s="145"/>
      <c r="T10" s="145"/>
      <c r="U10" s="145"/>
      <c r="W10" s="125"/>
    </row>
    <row r="11" spans="2:23" ht="14.25" thickBot="1">
      <c r="B11" s="150" t="s">
        <v>96</v>
      </c>
      <c r="C11" s="140"/>
      <c r="D11" s="151">
        <f t="shared" ref="D11:N11" si="2">(D17*D18)+(D13*D14)+(D15*D16)</f>
        <v>125</v>
      </c>
      <c r="E11" s="151">
        <f t="shared" si="2"/>
        <v>250</v>
      </c>
      <c r="F11" s="151">
        <f t="shared" si="2"/>
        <v>375</v>
      </c>
      <c r="G11" s="151">
        <f t="shared" si="2"/>
        <v>500</v>
      </c>
      <c r="H11" s="151">
        <f t="shared" si="2"/>
        <v>625</v>
      </c>
      <c r="I11" s="151">
        <f t="shared" si="2"/>
        <v>750</v>
      </c>
      <c r="J11" s="151">
        <f t="shared" si="2"/>
        <v>875</v>
      </c>
      <c r="K11" s="151">
        <f t="shared" si="2"/>
        <v>1000</v>
      </c>
      <c r="L11" s="151">
        <f t="shared" si="2"/>
        <v>1125</v>
      </c>
      <c r="M11" s="151">
        <f t="shared" si="2"/>
        <v>1250</v>
      </c>
      <c r="N11" s="151">
        <f t="shared" si="2"/>
        <v>1375</v>
      </c>
      <c r="O11" s="151">
        <f>(O17*O18)+(O13*O14)+(O15*O16)</f>
        <v>1500</v>
      </c>
      <c r="P11" s="152"/>
      <c r="Q11" s="151">
        <f>+SUM(D11:O11)</f>
        <v>9750</v>
      </c>
      <c r="R11" s="150"/>
      <c r="S11" s="153">
        <f>(S17*S18)+(S13*S14)+(S15*S16)</f>
        <v>73125</v>
      </c>
      <c r="T11" s="154"/>
      <c r="U11" s="155">
        <f>(U17*U18)+(U13*U14)+(U15*U16)</f>
        <v>19695</v>
      </c>
      <c r="V11" s="125"/>
      <c r="W11" s="125"/>
    </row>
    <row r="12" spans="2:23" ht="6.75" customHeight="1">
      <c r="B12" s="156"/>
    </row>
    <row r="13" spans="2:23">
      <c r="B13" s="487">
        <f>+'Datos iniciales'!C13</f>
        <v>0.21</v>
      </c>
      <c r="C13" s="157" t="s">
        <v>65</v>
      </c>
      <c r="D13" s="97">
        <v>1</v>
      </c>
      <c r="E13" s="97">
        <v>2</v>
      </c>
      <c r="F13" s="97">
        <v>3</v>
      </c>
      <c r="G13" s="97">
        <v>4</v>
      </c>
      <c r="H13" s="97">
        <v>5</v>
      </c>
      <c r="I13" s="97">
        <v>6</v>
      </c>
      <c r="J13" s="97">
        <v>7</v>
      </c>
      <c r="K13" s="97">
        <v>8</v>
      </c>
      <c r="L13" s="97">
        <v>9</v>
      </c>
      <c r="M13" s="97">
        <v>10</v>
      </c>
      <c r="N13" s="97">
        <v>11</v>
      </c>
      <c r="O13" s="97">
        <v>12</v>
      </c>
      <c r="Q13" s="450">
        <f>+SUM(D13:O13)</f>
        <v>78</v>
      </c>
      <c r="S13" s="98">
        <f>+Q13*1.5</f>
        <v>117</v>
      </c>
      <c r="T13" s="462"/>
      <c r="U13" s="99">
        <f>+Q13*2</f>
        <v>156</v>
      </c>
    </row>
    <row r="14" spans="2:23">
      <c r="B14" s="488"/>
      <c r="C14" s="159" t="s">
        <v>66</v>
      </c>
      <c r="D14" s="97">
        <v>100</v>
      </c>
      <c r="E14" s="97">
        <v>100</v>
      </c>
      <c r="F14" s="97">
        <v>100</v>
      </c>
      <c r="G14" s="97">
        <v>100</v>
      </c>
      <c r="H14" s="97">
        <v>100</v>
      </c>
      <c r="I14" s="97">
        <v>100</v>
      </c>
      <c r="J14" s="97">
        <v>100</v>
      </c>
      <c r="K14" s="97">
        <v>100</v>
      </c>
      <c r="L14" s="97">
        <v>100</v>
      </c>
      <c r="M14" s="97">
        <v>100</v>
      </c>
      <c r="N14" s="97">
        <v>100</v>
      </c>
      <c r="O14" s="97">
        <v>100</v>
      </c>
      <c r="Q14" s="451">
        <f>IF(COUNTA(D14:O14)=0,0,SUM(D14:O14)/(COUNTA(D14:O14)))</f>
        <v>100</v>
      </c>
      <c r="S14" s="98">
        <v>600</v>
      </c>
      <c r="T14" s="457"/>
      <c r="U14" s="99">
        <v>100</v>
      </c>
    </row>
    <row r="15" spans="2:23">
      <c r="B15" s="487">
        <f>+'Datos iniciales'!D13</f>
        <v>0.1</v>
      </c>
      <c r="C15" s="157" t="s">
        <v>65</v>
      </c>
      <c r="D15" s="97">
        <v>1</v>
      </c>
      <c r="E15" s="97">
        <v>2</v>
      </c>
      <c r="F15" s="97">
        <v>3</v>
      </c>
      <c r="G15" s="97">
        <v>4</v>
      </c>
      <c r="H15" s="97">
        <v>5</v>
      </c>
      <c r="I15" s="97">
        <v>6</v>
      </c>
      <c r="J15" s="97">
        <v>7</v>
      </c>
      <c r="K15" s="97">
        <v>8</v>
      </c>
      <c r="L15" s="97">
        <v>9</v>
      </c>
      <c r="M15" s="97">
        <v>10</v>
      </c>
      <c r="N15" s="97">
        <v>11</v>
      </c>
      <c r="O15" s="97">
        <v>12</v>
      </c>
      <c r="Q15" s="452">
        <f>+SUM(D15:O15)</f>
        <v>78</v>
      </c>
      <c r="S15" s="98">
        <f>+Q15*1.5</f>
        <v>117</v>
      </c>
      <c r="T15" s="462"/>
      <c r="U15" s="99">
        <f>+Q15*2</f>
        <v>156</v>
      </c>
    </row>
    <row r="16" spans="2:23">
      <c r="B16" s="488"/>
      <c r="C16" s="159" t="s">
        <v>66</v>
      </c>
      <c r="D16" s="97">
        <v>15</v>
      </c>
      <c r="E16" s="97">
        <v>15</v>
      </c>
      <c r="F16" s="97">
        <v>15</v>
      </c>
      <c r="G16" s="97">
        <v>15</v>
      </c>
      <c r="H16" s="97">
        <v>15</v>
      </c>
      <c r="I16" s="97">
        <v>15</v>
      </c>
      <c r="J16" s="97">
        <v>15</v>
      </c>
      <c r="K16" s="97">
        <v>15</v>
      </c>
      <c r="L16" s="97">
        <v>15</v>
      </c>
      <c r="M16" s="97">
        <v>15</v>
      </c>
      <c r="N16" s="97">
        <v>15</v>
      </c>
      <c r="O16" s="97">
        <v>15</v>
      </c>
      <c r="Q16" s="451">
        <f>IF(COUNTA(D16:O16)=0,0,SUM(D16:O16)/(COUNTA(D16:O16)))</f>
        <v>15</v>
      </c>
      <c r="S16" s="98">
        <v>15</v>
      </c>
      <c r="T16" s="457"/>
      <c r="U16" s="99">
        <v>15</v>
      </c>
    </row>
    <row r="17" spans="2:23">
      <c r="B17" s="487">
        <f>+'Datos iniciales'!E13</f>
        <v>0.04</v>
      </c>
      <c r="C17" s="157" t="s">
        <v>65</v>
      </c>
      <c r="D17" s="97">
        <v>1</v>
      </c>
      <c r="E17" s="97">
        <v>2</v>
      </c>
      <c r="F17" s="97">
        <v>3</v>
      </c>
      <c r="G17" s="97">
        <v>4</v>
      </c>
      <c r="H17" s="97">
        <v>5</v>
      </c>
      <c r="I17" s="97">
        <v>6</v>
      </c>
      <c r="J17" s="97">
        <v>7</v>
      </c>
      <c r="K17" s="97">
        <v>8</v>
      </c>
      <c r="L17" s="97">
        <v>9</v>
      </c>
      <c r="M17" s="97">
        <v>10</v>
      </c>
      <c r="N17" s="97">
        <v>11</v>
      </c>
      <c r="O17" s="97">
        <v>12</v>
      </c>
      <c r="Q17" s="452">
        <f>+SUM(D17:O17)</f>
        <v>78</v>
      </c>
      <c r="S17" s="98">
        <f>+Q17*1.5</f>
        <v>117</v>
      </c>
      <c r="T17" s="462"/>
      <c r="U17" s="99">
        <f>+S17*1.5</f>
        <v>175.5</v>
      </c>
    </row>
    <row r="18" spans="2:23">
      <c r="B18" s="488"/>
      <c r="C18" s="159" t="s">
        <v>66</v>
      </c>
      <c r="D18" s="97">
        <v>10</v>
      </c>
      <c r="E18" s="97">
        <v>10</v>
      </c>
      <c r="F18" s="97">
        <v>10</v>
      </c>
      <c r="G18" s="97">
        <v>10</v>
      </c>
      <c r="H18" s="97">
        <v>10</v>
      </c>
      <c r="I18" s="97">
        <v>10</v>
      </c>
      <c r="J18" s="97">
        <v>10</v>
      </c>
      <c r="K18" s="97">
        <v>10</v>
      </c>
      <c r="L18" s="97">
        <v>10</v>
      </c>
      <c r="M18" s="97">
        <v>10</v>
      </c>
      <c r="N18" s="97">
        <v>10</v>
      </c>
      <c r="O18" s="97">
        <v>10</v>
      </c>
      <c r="Q18" s="453">
        <f>IF(COUNTA(D18:O18)=0,0,SUM(D18:O18)/(COUNTA(D18:O18)))</f>
        <v>10</v>
      </c>
      <c r="S18" s="98">
        <v>10</v>
      </c>
      <c r="T18" s="457"/>
      <c r="U18" s="99">
        <v>10</v>
      </c>
    </row>
    <row r="19" spans="2:23" ht="6.75" customHeight="1">
      <c r="C19" s="161"/>
    </row>
    <row r="20" spans="2:23" ht="14.25" thickBot="1">
      <c r="B20" s="150" t="s">
        <v>67</v>
      </c>
      <c r="C20" s="140"/>
      <c r="D20" s="151">
        <f>+D22</f>
        <v>10</v>
      </c>
      <c r="E20" s="151">
        <f t="shared" ref="E20:O20" si="3">+E22</f>
        <v>10</v>
      </c>
      <c r="F20" s="151">
        <f t="shared" si="3"/>
        <v>10</v>
      </c>
      <c r="G20" s="151">
        <f t="shared" si="3"/>
        <v>10</v>
      </c>
      <c r="H20" s="151">
        <f t="shared" si="3"/>
        <v>10</v>
      </c>
      <c r="I20" s="151">
        <f t="shared" si="3"/>
        <v>10</v>
      </c>
      <c r="J20" s="151">
        <f t="shared" si="3"/>
        <v>10</v>
      </c>
      <c r="K20" s="151">
        <f t="shared" si="3"/>
        <v>10</v>
      </c>
      <c r="L20" s="151">
        <f t="shared" si="3"/>
        <v>10</v>
      </c>
      <c r="M20" s="151">
        <f t="shared" si="3"/>
        <v>10</v>
      </c>
      <c r="N20" s="151">
        <f t="shared" si="3"/>
        <v>10</v>
      </c>
      <c r="O20" s="151">
        <f t="shared" si="3"/>
        <v>10</v>
      </c>
      <c r="P20" s="152"/>
      <c r="Q20" s="151">
        <f>+Q22</f>
        <v>120</v>
      </c>
      <c r="R20" s="150"/>
      <c r="S20" s="153">
        <f>+S22</f>
        <v>150</v>
      </c>
      <c r="T20" s="154"/>
      <c r="U20" s="155">
        <f>+U22</f>
        <v>225</v>
      </c>
    </row>
    <row r="21" spans="2:23" s="162" customFormat="1" ht="6.75" customHeight="1">
      <c r="C21" s="126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26"/>
      <c r="Q21" s="164"/>
      <c r="S21" s="163"/>
      <c r="T21" s="165"/>
      <c r="U21" s="163"/>
    </row>
    <row r="22" spans="2:23">
      <c r="B22" s="444">
        <f>+'Datos iniciales'!C13</f>
        <v>0.21</v>
      </c>
      <c r="C22" s="157" t="s">
        <v>68</v>
      </c>
      <c r="D22" s="97">
        <v>10</v>
      </c>
      <c r="E22" s="97">
        <v>10</v>
      </c>
      <c r="F22" s="97">
        <v>10</v>
      </c>
      <c r="G22" s="97">
        <v>10</v>
      </c>
      <c r="H22" s="97">
        <v>10</v>
      </c>
      <c r="I22" s="97">
        <v>10</v>
      </c>
      <c r="J22" s="97">
        <v>10</v>
      </c>
      <c r="K22" s="97">
        <v>10</v>
      </c>
      <c r="L22" s="97">
        <v>10</v>
      </c>
      <c r="M22" s="97">
        <v>10</v>
      </c>
      <c r="N22" s="97">
        <v>10</v>
      </c>
      <c r="O22" s="97">
        <v>10</v>
      </c>
      <c r="Q22" s="158">
        <f>+SUM(D22:O22)</f>
        <v>120</v>
      </c>
      <c r="S22" s="98">
        <v>150</v>
      </c>
      <c r="T22" s="166"/>
      <c r="U22" s="99">
        <f>+S22*1.5</f>
        <v>225</v>
      </c>
    </row>
    <row r="23" spans="2:23" s="162" customFormat="1" ht="6.75" customHeight="1"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26"/>
      <c r="Q23" s="164"/>
      <c r="S23" s="163"/>
      <c r="T23" s="165"/>
      <c r="U23" s="163"/>
    </row>
    <row r="24" spans="2:23" s="162" customFormat="1"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26"/>
      <c r="Q24" s="164"/>
      <c r="S24" s="163"/>
      <c r="T24" s="165"/>
      <c r="U24" s="163"/>
    </row>
    <row r="25" spans="2:23" s="128" customFormat="1" ht="14.25" thickBot="1">
      <c r="B25" s="135"/>
      <c r="C25" s="136">
        <f>+C5</f>
        <v>2014</v>
      </c>
      <c r="D25" s="136">
        <f t="shared" ref="D25:U25" si="4">+D5</f>
        <v>1</v>
      </c>
      <c r="E25" s="136">
        <f t="shared" si="4"/>
        <v>2</v>
      </c>
      <c r="F25" s="136">
        <f t="shared" si="4"/>
        <v>3</v>
      </c>
      <c r="G25" s="136">
        <f t="shared" si="4"/>
        <v>4</v>
      </c>
      <c r="H25" s="136">
        <f t="shared" si="4"/>
        <v>5</v>
      </c>
      <c r="I25" s="136">
        <f t="shared" si="4"/>
        <v>6</v>
      </c>
      <c r="J25" s="136">
        <f t="shared" si="4"/>
        <v>7</v>
      </c>
      <c r="K25" s="136">
        <f t="shared" si="4"/>
        <v>8</v>
      </c>
      <c r="L25" s="136">
        <f t="shared" si="4"/>
        <v>9</v>
      </c>
      <c r="M25" s="136">
        <f t="shared" si="4"/>
        <v>10</v>
      </c>
      <c r="N25" s="136">
        <f t="shared" si="4"/>
        <v>11</v>
      </c>
      <c r="O25" s="136">
        <f t="shared" si="4"/>
        <v>12</v>
      </c>
      <c r="P25" s="136">
        <f t="shared" si="4"/>
        <v>0</v>
      </c>
      <c r="Q25" s="136">
        <f t="shared" si="4"/>
        <v>2014</v>
      </c>
      <c r="R25" s="136">
        <f t="shared" si="4"/>
        <v>0</v>
      </c>
      <c r="S25" s="136">
        <f t="shared" si="4"/>
        <v>2015</v>
      </c>
      <c r="T25" s="136">
        <f t="shared" si="4"/>
        <v>0</v>
      </c>
      <c r="U25" s="167">
        <f t="shared" si="4"/>
        <v>2016</v>
      </c>
    </row>
    <row r="26" spans="2:23" s="128" customFormat="1" ht="4.5" customHeight="1">
      <c r="B26" s="125"/>
      <c r="C26" s="125"/>
      <c r="D26" s="125"/>
      <c r="E26" s="125"/>
      <c r="F26" s="143"/>
      <c r="G26" s="144"/>
      <c r="H26" s="144"/>
      <c r="I26" s="143"/>
      <c r="J26" s="134"/>
      <c r="K26" s="134"/>
      <c r="L26" s="134"/>
      <c r="M26" s="134"/>
      <c r="N26" s="134"/>
      <c r="O26" s="134"/>
      <c r="P26" s="126"/>
      <c r="Q26" s="145"/>
      <c r="S26" s="145"/>
      <c r="T26" s="145"/>
      <c r="U26" s="145"/>
    </row>
    <row r="27" spans="2:23" s="128" customFormat="1" ht="14.25" thickBot="1">
      <c r="B27" s="146"/>
      <c r="C27" s="147" t="s">
        <v>69</v>
      </c>
      <c r="D27" s="147">
        <f t="shared" ref="D27:O27" si="5">+D48+D50+D56+D69+D73</f>
        <v>1517.4444444444443</v>
      </c>
      <c r="E27" s="147">
        <f t="shared" si="5"/>
        <v>1531.9077777777777</v>
      </c>
      <c r="F27" s="147">
        <f t="shared" si="5"/>
        <v>1546.3689027777777</v>
      </c>
      <c r="G27" s="147">
        <f t="shared" si="5"/>
        <v>1560.8277361111111</v>
      </c>
      <c r="H27" s="147">
        <f t="shared" si="5"/>
        <v>1575.2843611111111</v>
      </c>
      <c r="I27" s="147">
        <f t="shared" si="5"/>
        <v>1589.7386944444445</v>
      </c>
      <c r="J27" s="147">
        <f t="shared" si="5"/>
        <v>1604.1907777777778</v>
      </c>
      <c r="K27" s="147">
        <f t="shared" si="5"/>
        <v>1618.6405694444443</v>
      </c>
      <c r="L27" s="147">
        <f t="shared" si="5"/>
        <v>1633.0880694444445</v>
      </c>
      <c r="M27" s="147">
        <f t="shared" si="5"/>
        <v>1647.5332361111111</v>
      </c>
      <c r="N27" s="147">
        <f t="shared" si="5"/>
        <v>1661.9761111111111</v>
      </c>
      <c r="O27" s="147">
        <f t="shared" si="5"/>
        <v>1676.4166944444444</v>
      </c>
      <c r="P27" s="148"/>
      <c r="Q27" s="147">
        <f>+SUM(D27:O27)</f>
        <v>19163.417374999997</v>
      </c>
      <c r="R27" s="130"/>
      <c r="S27" s="147">
        <f>+S48+S50+S56+S69+S73</f>
        <v>63224.613833333337</v>
      </c>
      <c r="T27" s="147"/>
      <c r="U27" s="149">
        <f>+U48+U50+U56+U69+U73</f>
        <v>87537.049641666672</v>
      </c>
    </row>
    <row r="28" spans="2:23">
      <c r="B28" s="128"/>
      <c r="C28" s="128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Q28" s="145"/>
      <c r="S28" s="145"/>
      <c r="T28" s="145"/>
      <c r="U28" s="145"/>
    </row>
    <row r="29" spans="2:23">
      <c r="B29" s="128"/>
      <c r="C29" s="128" t="s">
        <v>99</v>
      </c>
      <c r="D29" s="445">
        <f t="shared" ref="D29:O29" si="6">+(D33*D34*$B33)+(D35*D36*$B35)+(D37*D38*$B37)+D31</f>
        <v>17.03</v>
      </c>
      <c r="E29" s="445">
        <f t="shared" si="6"/>
        <v>34.06</v>
      </c>
      <c r="F29" s="445">
        <f t="shared" si="6"/>
        <v>51.09</v>
      </c>
      <c r="G29" s="445">
        <f t="shared" si="6"/>
        <v>68.12</v>
      </c>
      <c r="H29" s="445">
        <f t="shared" si="6"/>
        <v>85.15</v>
      </c>
      <c r="I29" s="445">
        <f t="shared" si="6"/>
        <v>102.18</v>
      </c>
      <c r="J29" s="445">
        <f t="shared" si="6"/>
        <v>119.21000000000001</v>
      </c>
      <c r="K29" s="445">
        <f t="shared" si="6"/>
        <v>136.24</v>
      </c>
      <c r="L29" s="445">
        <f t="shared" si="6"/>
        <v>153.27000000000001</v>
      </c>
      <c r="M29" s="445">
        <f t="shared" si="6"/>
        <v>170.3</v>
      </c>
      <c r="N29" s="445">
        <f t="shared" si="6"/>
        <v>187.33</v>
      </c>
      <c r="O29" s="445">
        <f t="shared" si="6"/>
        <v>204.36</v>
      </c>
      <c r="Q29" s="445">
        <f>+(Q33*Q34*$B33)+(Q35*Q36*$B35)+(Q37*Q38*$B37)+Q31</f>
        <v>1328.34</v>
      </c>
      <c r="S29" s="445">
        <f>+(S33*S34*$B33)+(S35*S36*$B35)+(S37*S38*$B37)+S31</f>
        <v>1992.51</v>
      </c>
      <c r="T29" s="145"/>
      <c r="U29" s="445">
        <f>+(U33*U34*$B33)+(U35*U36*$B35)+(U37*U38*$B37)+U31</f>
        <v>2988.7649999999999</v>
      </c>
      <c r="W29" s="125"/>
    </row>
    <row r="30" spans="2:23">
      <c r="B30" s="128"/>
      <c r="C30" s="128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Q30" s="145"/>
      <c r="S30" s="145"/>
      <c r="T30" s="145"/>
      <c r="U30" s="145"/>
    </row>
    <row r="31" spans="2:23" ht="14.25" thickBot="1">
      <c r="B31" s="152" t="s">
        <v>70</v>
      </c>
      <c r="C31" s="138"/>
      <c r="D31" s="151">
        <f t="shared" ref="D31:O31" si="7">(D37*D38)+(D33*D34)+(D35*D36)</f>
        <v>15</v>
      </c>
      <c r="E31" s="151">
        <f t="shared" si="7"/>
        <v>30</v>
      </c>
      <c r="F31" s="151">
        <f t="shared" si="7"/>
        <v>45</v>
      </c>
      <c r="G31" s="151">
        <f t="shared" si="7"/>
        <v>60</v>
      </c>
      <c r="H31" s="151">
        <f t="shared" si="7"/>
        <v>75</v>
      </c>
      <c r="I31" s="151">
        <f t="shared" si="7"/>
        <v>90</v>
      </c>
      <c r="J31" s="151">
        <f t="shared" si="7"/>
        <v>105</v>
      </c>
      <c r="K31" s="151">
        <f t="shared" si="7"/>
        <v>120</v>
      </c>
      <c r="L31" s="151">
        <f t="shared" si="7"/>
        <v>135</v>
      </c>
      <c r="M31" s="151">
        <f t="shared" si="7"/>
        <v>150</v>
      </c>
      <c r="N31" s="151">
        <f t="shared" si="7"/>
        <v>165</v>
      </c>
      <c r="O31" s="151">
        <f t="shared" si="7"/>
        <v>180</v>
      </c>
      <c r="P31" s="152"/>
      <c r="Q31" s="151">
        <f>+SUM(D31:O31)</f>
        <v>1170</v>
      </c>
      <c r="R31" s="150"/>
      <c r="S31" s="153">
        <f>(S37*S38)+(S33*S34)+(S35*S36)</f>
        <v>1755</v>
      </c>
      <c r="T31" s="154"/>
      <c r="U31" s="155">
        <f>(U37*U38)+(U33*U34)+(U35*U36)</f>
        <v>2632.5</v>
      </c>
    </row>
    <row r="32" spans="2:23" s="162" customFormat="1" ht="6.75" customHeight="1">
      <c r="B32" s="164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26"/>
      <c r="T32" s="126"/>
    </row>
    <row r="33" spans="2:21">
      <c r="B33" s="487">
        <f>+'Datos iniciales'!C13</f>
        <v>0.21</v>
      </c>
      <c r="C33" s="157" t="s">
        <v>65</v>
      </c>
      <c r="D33" s="97">
        <v>1</v>
      </c>
      <c r="E33" s="97">
        <v>2</v>
      </c>
      <c r="F33" s="97">
        <v>3</v>
      </c>
      <c r="G33" s="97">
        <v>4</v>
      </c>
      <c r="H33" s="97">
        <v>5</v>
      </c>
      <c r="I33" s="97">
        <v>6</v>
      </c>
      <c r="J33" s="97">
        <v>7</v>
      </c>
      <c r="K33" s="97">
        <v>8</v>
      </c>
      <c r="L33" s="97">
        <v>9</v>
      </c>
      <c r="M33" s="97">
        <v>10</v>
      </c>
      <c r="N33" s="97">
        <v>11</v>
      </c>
      <c r="O33" s="97">
        <v>12</v>
      </c>
      <c r="Q33" s="450">
        <f>+SUM(D33:O33)</f>
        <v>78</v>
      </c>
      <c r="S33" s="98">
        <f>+Q33*1.5</f>
        <v>117</v>
      </c>
      <c r="T33" s="462"/>
      <c r="U33" s="99">
        <f>+S33*1.5</f>
        <v>175.5</v>
      </c>
    </row>
    <row r="34" spans="2:21">
      <c r="B34" s="488"/>
      <c r="C34" s="159" t="s">
        <v>66</v>
      </c>
      <c r="D34" s="97">
        <v>7</v>
      </c>
      <c r="E34" s="97">
        <v>7</v>
      </c>
      <c r="F34" s="97">
        <v>7</v>
      </c>
      <c r="G34" s="97">
        <v>7</v>
      </c>
      <c r="H34" s="97">
        <v>7</v>
      </c>
      <c r="I34" s="97">
        <v>7</v>
      </c>
      <c r="J34" s="97">
        <v>7</v>
      </c>
      <c r="K34" s="97">
        <v>7</v>
      </c>
      <c r="L34" s="97">
        <v>7</v>
      </c>
      <c r="M34" s="97">
        <v>7</v>
      </c>
      <c r="N34" s="97">
        <v>7</v>
      </c>
      <c r="O34" s="97">
        <v>7</v>
      </c>
      <c r="Q34" s="451">
        <f>IF(COUNTA(D34:O34)=0,0,SUM(D34:O34)/(COUNTA(D34:O34)))</f>
        <v>7</v>
      </c>
      <c r="S34" s="98">
        <v>7</v>
      </c>
      <c r="T34" s="457"/>
      <c r="U34" s="99">
        <v>7</v>
      </c>
    </row>
    <row r="35" spans="2:21">
      <c r="B35" s="487">
        <f>+'Datos iniciales'!D13</f>
        <v>0.1</v>
      </c>
      <c r="C35" s="157" t="s">
        <v>65</v>
      </c>
      <c r="D35" s="97">
        <v>1</v>
      </c>
      <c r="E35" s="97">
        <v>2</v>
      </c>
      <c r="F35" s="97">
        <v>3</v>
      </c>
      <c r="G35" s="97">
        <v>4</v>
      </c>
      <c r="H35" s="97">
        <v>5</v>
      </c>
      <c r="I35" s="97">
        <v>6</v>
      </c>
      <c r="J35" s="97">
        <v>7</v>
      </c>
      <c r="K35" s="97">
        <v>8</v>
      </c>
      <c r="L35" s="97">
        <v>9</v>
      </c>
      <c r="M35" s="97">
        <v>10</v>
      </c>
      <c r="N35" s="97">
        <v>11</v>
      </c>
      <c r="O35" s="97">
        <v>12</v>
      </c>
      <c r="Q35" s="452">
        <f>+SUM(D35:O35)</f>
        <v>78</v>
      </c>
      <c r="S35" s="98">
        <f>+Q35*1.5</f>
        <v>117</v>
      </c>
      <c r="T35" s="462"/>
      <c r="U35" s="99">
        <f>+S35*1.5</f>
        <v>175.5</v>
      </c>
    </row>
    <row r="36" spans="2:21">
      <c r="B36" s="488"/>
      <c r="C36" s="159" t="s">
        <v>66</v>
      </c>
      <c r="D36" s="97">
        <v>4</v>
      </c>
      <c r="E36" s="97">
        <v>4</v>
      </c>
      <c r="F36" s="97">
        <v>4</v>
      </c>
      <c r="G36" s="97">
        <v>4</v>
      </c>
      <c r="H36" s="97">
        <v>4</v>
      </c>
      <c r="I36" s="97">
        <v>4</v>
      </c>
      <c r="J36" s="97">
        <v>4</v>
      </c>
      <c r="K36" s="97">
        <v>4</v>
      </c>
      <c r="L36" s="97">
        <v>4</v>
      </c>
      <c r="M36" s="97">
        <v>4</v>
      </c>
      <c r="N36" s="97">
        <v>4</v>
      </c>
      <c r="O36" s="97">
        <v>4</v>
      </c>
      <c r="Q36" s="451">
        <f>IF(COUNTA(D36:O36)=0,0,SUM(D36:O36)/(COUNTA(D36:O36)))</f>
        <v>4</v>
      </c>
      <c r="S36" s="98">
        <v>4</v>
      </c>
      <c r="T36" s="457"/>
      <c r="U36" s="99">
        <v>4</v>
      </c>
    </row>
    <row r="37" spans="2:21">
      <c r="B37" s="487">
        <f>+'Datos iniciales'!E13</f>
        <v>0.04</v>
      </c>
      <c r="C37" s="157" t="s">
        <v>65</v>
      </c>
      <c r="D37" s="97">
        <v>1</v>
      </c>
      <c r="E37" s="97">
        <v>2</v>
      </c>
      <c r="F37" s="97">
        <v>3</v>
      </c>
      <c r="G37" s="97">
        <v>4</v>
      </c>
      <c r="H37" s="97">
        <v>5</v>
      </c>
      <c r="I37" s="97">
        <v>6</v>
      </c>
      <c r="J37" s="97">
        <v>7</v>
      </c>
      <c r="K37" s="97">
        <v>8</v>
      </c>
      <c r="L37" s="97">
        <v>9</v>
      </c>
      <c r="M37" s="97">
        <v>10</v>
      </c>
      <c r="N37" s="97">
        <v>11</v>
      </c>
      <c r="O37" s="97">
        <v>12</v>
      </c>
      <c r="Q37" s="452">
        <f>+SUM(D37:O37)</f>
        <v>78</v>
      </c>
      <c r="S37" s="98">
        <f>+Q37*1.5</f>
        <v>117</v>
      </c>
      <c r="T37" s="462"/>
      <c r="U37" s="99">
        <f>+S37*1.5</f>
        <v>175.5</v>
      </c>
    </row>
    <row r="38" spans="2:21">
      <c r="B38" s="488"/>
      <c r="C38" s="159" t="s">
        <v>66</v>
      </c>
      <c r="D38" s="97">
        <v>4</v>
      </c>
      <c r="E38" s="97">
        <v>4</v>
      </c>
      <c r="F38" s="97">
        <v>4</v>
      </c>
      <c r="G38" s="97">
        <v>4</v>
      </c>
      <c r="H38" s="97">
        <v>4</v>
      </c>
      <c r="I38" s="97">
        <v>4</v>
      </c>
      <c r="J38" s="97">
        <v>4</v>
      </c>
      <c r="K38" s="97">
        <v>4</v>
      </c>
      <c r="L38" s="97">
        <v>4</v>
      </c>
      <c r="M38" s="97">
        <v>4</v>
      </c>
      <c r="N38" s="97">
        <v>4</v>
      </c>
      <c r="O38" s="97">
        <v>4</v>
      </c>
      <c r="Q38" s="453">
        <f>IF(COUNTA(D38:O38)=0,0,SUM(D38:O38)/(COUNTA(D38:O38)))</f>
        <v>4</v>
      </c>
      <c r="S38" s="98">
        <v>4</v>
      </c>
      <c r="T38" s="463"/>
      <c r="U38" s="99">
        <v>4</v>
      </c>
    </row>
    <row r="39" spans="2:21" s="126" customFormat="1" ht="6.75" customHeight="1"/>
    <row r="40" spans="2:21" ht="14.25" thickBot="1">
      <c r="B40" s="152" t="s">
        <v>71</v>
      </c>
      <c r="C40" s="138"/>
      <c r="D40" s="151">
        <f t="shared" ref="D40:O40" si="8">+D42</f>
        <v>6</v>
      </c>
      <c r="E40" s="151">
        <f t="shared" si="8"/>
        <v>6</v>
      </c>
      <c r="F40" s="151">
        <f t="shared" si="8"/>
        <v>6</v>
      </c>
      <c r="G40" s="151">
        <f t="shared" si="8"/>
        <v>6</v>
      </c>
      <c r="H40" s="151">
        <f t="shared" si="8"/>
        <v>6</v>
      </c>
      <c r="I40" s="151">
        <f t="shared" si="8"/>
        <v>6</v>
      </c>
      <c r="J40" s="151">
        <f t="shared" si="8"/>
        <v>6</v>
      </c>
      <c r="K40" s="151">
        <f t="shared" si="8"/>
        <v>6</v>
      </c>
      <c r="L40" s="151">
        <f t="shared" si="8"/>
        <v>6</v>
      </c>
      <c r="M40" s="151">
        <f t="shared" si="8"/>
        <v>6</v>
      </c>
      <c r="N40" s="151">
        <f t="shared" si="8"/>
        <v>6</v>
      </c>
      <c r="O40" s="151">
        <f t="shared" si="8"/>
        <v>6</v>
      </c>
      <c r="P40" s="152"/>
      <c r="Q40" s="151">
        <f>+SUM(D40:O40)</f>
        <v>72</v>
      </c>
      <c r="R40" s="150"/>
      <c r="S40" s="153">
        <f>+S42</f>
        <v>108</v>
      </c>
      <c r="T40" s="154"/>
      <c r="U40" s="155">
        <f>+U42</f>
        <v>162</v>
      </c>
    </row>
    <row r="41" spans="2:21" s="162" customFormat="1" ht="6.75" customHeight="1">
      <c r="B41" s="164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26"/>
      <c r="T41" s="126"/>
    </row>
    <row r="42" spans="2:21">
      <c r="B42" s="446">
        <f>+'Datos iniciales'!C13</f>
        <v>0.21</v>
      </c>
      <c r="C42" s="157" t="s">
        <v>72</v>
      </c>
      <c r="D42" s="97">
        <v>6</v>
      </c>
      <c r="E42" s="97">
        <v>6</v>
      </c>
      <c r="F42" s="97">
        <v>6</v>
      </c>
      <c r="G42" s="97">
        <v>6</v>
      </c>
      <c r="H42" s="97">
        <v>6</v>
      </c>
      <c r="I42" s="97">
        <v>6</v>
      </c>
      <c r="J42" s="97">
        <v>6</v>
      </c>
      <c r="K42" s="97">
        <v>6</v>
      </c>
      <c r="L42" s="97">
        <v>6</v>
      </c>
      <c r="M42" s="97">
        <v>6</v>
      </c>
      <c r="N42" s="97">
        <v>6</v>
      </c>
      <c r="O42" s="97">
        <v>6</v>
      </c>
      <c r="Q42" s="160">
        <f>+Q40</f>
        <v>72</v>
      </c>
      <c r="S42" s="98">
        <f>+Q42*1.5</f>
        <v>108</v>
      </c>
      <c r="T42" s="462"/>
      <c r="U42" s="99">
        <f>+S42*1.5</f>
        <v>162</v>
      </c>
    </row>
    <row r="43" spans="2:21" s="162" customFormat="1" ht="6.75" customHeight="1"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26"/>
      <c r="S43" s="163"/>
      <c r="T43" s="165"/>
      <c r="U43" s="163"/>
    </row>
    <row r="44" spans="2:21" ht="14.25" thickBot="1">
      <c r="B44" s="152" t="s">
        <v>73</v>
      </c>
      <c r="C44" s="138"/>
      <c r="D44" s="151">
        <f>+D46</f>
        <v>25</v>
      </c>
      <c r="E44" s="151">
        <f t="shared" ref="E44:O44" si="9">+E46</f>
        <v>25</v>
      </c>
      <c r="F44" s="151">
        <f t="shared" si="9"/>
        <v>25</v>
      </c>
      <c r="G44" s="151">
        <f t="shared" si="9"/>
        <v>25</v>
      </c>
      <c r="H44" s="151">
        <f t="shared" si="9"/>
        <v>25</v>
      </c>
      <c r="I44" s="151">
        <f t="shared" si="9"/>
        <v>25</v>
      </c>
      <c r="J44" s="151">
        <f t="shared" si="9"/>
        <v>25</v>
      </c>
      <c r="K44" s="151">
        <f t="shared" si="9"/>
        <v>25</v>
      </c>
      <c r="L44" s="151">
        <f t="shared" si="9"/>
        <v>25</v>
      </c>
      <c r="M44" s="151">
        <f t="shared" si="9"/>
        <v>25</v>
      </c>
      <c r="N44" s="151">
        <f t="shared" si="9"/>
        <v>25</v>
      </c>
      <c r="O44" s="151">
        <f t="shared" si="9"/>
        <v>25</v>
      </c>
      <c r="P44" s="152"/>
      <c r="Q44" s="151">
        <f>+Q46</f>
        <v>300</v>
      </c>
      <c r="R44" s="150"/>
      <c r="S44" s="153">
        <f>+S46</f>
        <v>450</v>
      </c>
      <c r="T44" s="154"/>
      <c r="U44" s="155">
        <f>+U46</f>
        <v>675</v>
      </c>
    </row>
    <row r="45" spans="2:21" s="162" customFormat="1" ht="6.75" customHeight="1">
      <c r="B45" s="164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26"/>
      <c r="T45" s="126"/>
    </row>
    <row r="46" spans="2:21">
      <c r="B46" s="446">
        <f>+'Datos iniciales'!C13</f>
        <v>0.21</v>
      </c>
      <c r="C46" s="157" t="s">
        <v>74</v>
      </c>
      <c r="D46" s="185">
        <v>25</v>
      </c>
      <c r="E46" s="185">
        <v>25</v>
      </c>
      <c r="F46" s="185">
        <v>25</v>
      </c>
      <c r="G46" s="185">
        <v>25</v>
      </c>
      <c r="H46" s="185">
        <v>25</v>
      </c>
      <c r="I46" s="185">
        <v>25</v>
      </c>
      <c r="J46" s="185">
        <v>25</v>
      </c>
      <c r="K46" s="185">
        <v>25</v>
      </c>
      <c r="L46" s="185">
        <v>25</v>
      </c>
      <c r="M46" s="185">
        <v>25</v>
      </c>
      <c r="N46" s="185">
        <v>25</v>
      </c>
      <c r="O46" s="185">
        <v>25</v>
      </c>
      <c r="P46" s="170"/>
      <c r="Q46" s="171">
        <f>+SUM(D46:O46)</f>
        <v>300</v>
      </c>
      <c r="R46" s="172"/>
      <c r="S46" s="98">
        <f>+Q46*1.5</f>
        <v>450</v>
      </c>
      <c r="T46" s="462"/>
      <c r="U46" s="99">
        <f>+S46*1.5</f>
        <v>675</v>
      </c>
    </row>
    <row r="47" spans="2:21" s="162" customFormat="1" ht="6.75" customHeight="1"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26"/>
      <c r="S47" s="163"/>
      <c r="T47" s="165"/>
      <c r="U47" s="163"/>
    </row>
    <row r="48" spans="2:21" ht="14.25" thickBot="1">
      <c r="B48" s="176" t="s">
        <v>75</v>
      </c>
      <c r="C48" s="177"/>
      <c r="D48" s="178">
        <f t="shared" ref="D48:O48" si="10">+D31+D40+D44</f>
        <v>46</v>
      </c>
      <c r="E48" s="178">
        <f t="shared" si="10"/>
        <v>61</v>
      </c>
      <c r="F48" s="178">
        <f t="shared" si="10"/>
        <v>76</v>
      </c>
      <c r="G48" s="178">
        <f t="shared" si="10"/>
        <v>91</v>
      </c>
      <c r="H48" s="178">
        <f t="shared" si="10"/>
        <v>106</v>
      </c>
      <c r="I48" s="178">
        <f t="shared" si="10"/>
        <v>121</v>
      </c>
      <c r="J48" s="178">
        <f t="shared" si="10"/>
        <v>136</v>
      </c>
      <c r="K48" s="178">
        <f t="shared" si="10"/>
        <v>151</v>
      </c>
      <c r="L48" s="178">
        <f t="shared" si="10"/>
        <v>166</v>
      </c>
      <c r="M48" s="178">
        <f t="shared" si="10"/>
        <v>181</v>
      </c>
      <c r="N48" s="178">
        <f t="shared" si="10"/>
        <v>196</v>
      </c>
      <c r="O48" s="178">
        <f t="shared" si="10"/>
        <v>211</v>
      </c>
      <c r="P48" s="179"/>
      <c r="Q48" s="178">
        <f>+SUM(D48:O48)</f>
        <v>1542</v>
      </c>
      <c r="R48" s="177"/>
      <c r="S48" s="180">
        <f>+S31+S40+S44</f>
        <v>2313</v>
      </c>
      <c r="T48" s="181"/>
      <c r="U48" s="182">
        <f>+U31+U40+U44</f>
        <v>3469.5</v>
      </c>
    </row>
    <row r="49" spans="2:21" s="162" customFormat="1" ht="6.75" customHeight="1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26"/>
      <c r="S49" s="163"/>
      <c r="T49" s="165"/>
      <c r="U49" s="163"/>
    </row>
    <row r="50" spans="2:21" ht="14.25" thickBot="1">
      <c r="B50" s="152" t="s">
        <v>76</v>
      </c>
      <c r="C50" s="138"/>
      <c r="D50" s="151">
        <f t="shared" ref="D50:O50" si="11">+D52+D53+D54</f>
        <v>141</v>
      </c>
      <c r="E50" s="151">
        <f t="shared" si="11"/>
        <v>141</v>
      </c>
      <c r="F50" s="151">
        <f t="shared" si="11"/>
        <v>141</v>
      </c>
      <c r="G50" s="151">
        <f t="shared" si="11"/>
        <v>141</v>
      </c>
      <c r="H50" s="151">
        <f t="shared" si="11"/>
        <v>141</v>
      </c>
      <c r="I50" s="151">
        <f t="shared" si="11"/>
        <v>141</v>
      </c>
      <c r="J50" s="151">
        <f t="shared" si="11"/>
        <v>141</v>
      </c>
      <c r="K50" s="151">
        <f t="shared" si="11"/>
        <v>141</v>
      </c>
      <c r="L50" s="151">
        <f t="shared" si="11"/>
        <v>141</v>
      </c>
      <c r="M50" s="151">
        <f t="shared" si="11"/>
        <v>141</v>
      </c>
      <c r="N50" s="151">
        <f t="shared" si="11"/>
        <v>141</v>
      </c>
      <c r="O50" s="151">
        <f t="shared" si="11"/>
        <v>141</v>
      </c>
      <c r="P50" s="152"/>
      <c r="Q50" s="151">
        <f>+SUM(Q52:Q54)</f>
        <v>1692</v>
      </c>
      <c r="R50" s="150"/>
      <c r="S50" s="153">
        <f>+S52+S53+S54</f>
        <v>2538</v>
      </c>
      <c r="T50" s="154"/>
      <c r="U50" s="155">
        <f>+U52+U53+U54</f>
        <v>3807</v>
      </c>
    </row>
    <row r="51" spans="2:21" s="162" customFormat="1" ht="6.75" customHeight="1">
      <c r="B51" s="164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26"/>
      <c r="T51" s="126"/>
    </row>
    <row r="52" spans="2:21">
      <c r="C52" s="157" t="s">
        <v>77</v>
      </c>
      <c r="D52" s="185">
        <v>100</v>
      </c>
      <c r="E52" s="185">
        <v>100</v>
      </c>
      <c r="F52" s="185">
        <v>100</v>
      </c>
      <c r="G52" s="185">
        <v>100</v>
      </c>
      <c r="H52" s="185">
        <v>100</v>
      </c>
      <c r="I52" s="185">
        <v>100</v>
      </c>
      <c r="J52" s="185">
        <v>100</v>
      </c>
      <c r="K52" s="185">
        <v>100</v>
      </c>
      <c r="L52" s="185">
        <v>100</v>
      </c>
      <c r="M52" s="185">
        <v>100</v>
      </c>
      <c r="N52" s="185">
        <v>100</v>
      </c>
      <c r="O52" s="185">
        <v>100</v>
      </c>
      <c r="P52" s="170"/>
      <c r="Q52" s="169">
        <f>+SUM(D52:O52)</f>
        <v>1200</v>
      </c>
      <c r="R52" s="172"/>
      <c r="S52" s="98">
        <f>+Q52*1.5</f>
        <v>1800</v>
      </c>
      <c r="T52" s="462"/>
      <c r="U52" s="99">
        <f>+S52*1.5</f>
        <v>2700</v>
      </c>
    </row>
    <row r="53" spans="2:21">
      <c r="C53" s="157" t="s">
        <v>78</v>
      </c>
      <c r="D53" s="185">
        <v>38</v>
      </c>
      <c r="E53" s="185">
        <v>38</v>
      </c>
      <c r="F53" s="185">
        <v>38</v>
      </c>
      <c r="G53" s="185">
        <v>38</v>
      </c>
      <c r="H53" s="185">
        <v>38</v>
      </c>
      <c r="I53" s="185">
        <v>38</v>
      </c>
      <c r="J53" s="185">
        <v>38</v>
      </c>
      <c r="K53" s="185">
        <v>38</v>
      </c>
      <c r="L53" s="185">
        <v>38</v>
      </c>
      <c r="M53" s="185">
        <v>38</v>
      </c>
      <c r="N53" s="185">
        <v>38</v>
      </c>
      <c r="O53" s="185">
        <v>38</v>
      </c>
      <c r="P53" s="170"/>
      <c r="Q53" s="168">
        <f>+SUM(D53:O53)</f>
        <v>456</v>
      </c>
      <c r="R53" s="172"/>
      <c r="S53" s="98">
        <f>+Q53*1.5</f>
        <v>684</v>
      </c>
      <c r="T53" s="462"/>
      <c r="U53" s="99">
        <f>+S53*1.5</f>
        <v>1026</v>
      </c>
    </row>
    <row r="54" spans="2:21">
      <c r="C54" s="157" t="s">
        <v>79</v>
      </c>
      <c r="D54" s="185">
        <v>3</v>
      </c>
      <c r="E54" s="185">
        <v>3</v>
      </c>
      <c r="F54" s="185">
        <v>3</v>
      </c>
      <c r="G54" s="185">
        <v>3</v>
      </c>
      <c r="H54" s="185">
        <v>3</v>
      </c>
      <c r="I54" s="185">
        <v>3</v>
      </c>
      <c r="J54" s="185">
        <v>3</v>
      </c>
      <c r="K54" s="185">
        <v>3</v>
      </c>
      <c r="L54" s="185">
        <v>3</v>
      </c>
      <c r="M54" s="185">
        <v>3</v>
      </c>
      <c r="N54" s="185">
        <v>3</v>
      </c>
      <c r="O54" s="185">
        <v>3</v>
      </c>
      <c r="P54" s="170"/>
      <c r="Q54" s="169">
        <f>+SUM(D54:O54)</f>
        <v>36</v>
      </c>
      <c r="R54" s="172"/>
      <c r="S54" s="98">
        <f>+Q54*1.5</f>
        <v>54</v>
      </c>
      <c r="T54" s="465"/>
      <c r="U54" s="99">
        <f>+S54*1.5</f>
        <v>81</v>
      </c>
    </row>
    <row r="55" spans="2:21" s="162" customFormat="1" ht="6.75" customHeight="1"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26"/>
      <c r="S55" s="163"/>
      <c r="T55" s="165"/>
      <c r="U55" s="163"/>
    </row>
    <row r="56" spans="2:21" ht="14.25" thickBot="1">
      <c r="B56" s="152" t="s">
        <v>80</v>
      </c>
      <c r="C56" s="138"/>
      <c r="D56" s="151">
        <f t="shared" ref="D56:O56" si="12">+SUM(D58:D67)</f>
        <v>135.5</v>
      </c>
      <c r="E56" s="151">
        <f t="shared" si="12"/>
        <v>135.5</v>
      </c>
      <c r="F56" s="151">
        <f t="shared" si="12"/>
        <v>135.5</v>
      </c>
      <c r="G56" s="151">
        <f t="shared" si="12"/>
        <v>135.5</v>
      </c>
      <c r="H56" s="151">
        <f t="shared" si="12"/>
        <v>135.5</v>
      </c>
      <c r="I56" s="151">
        <f t="shared" si="12"/>
        <v>135.5</v>
      </c>
      <c r="J56" s="151">
        <f t="shared" si="12"/>
        <v>135.5</v>
      </c>
      <c r="K56" s="151">
        <f t="shared" si="12"/>
        <v>135.5</v>
      </c>
      <c r="L56" s="151">
        <f t="shared" si="12"/>
        <v>135.5</v>
      </c>
      <c r="M56" s="151">
        <f t="shared" si="12"/>
        <v>135.5</v>
      </c>
      <c r="N56" s="151">
        <f t="shared" si="12"/>
        <v>135.5</v>
      </c>
      <c r="O56" s="151">
        <f t="shared" si="12"/>
        <v>135.5</v>
      </c>
      <c r="P56" s="152"/>
      <c r="Q56" s="151">
        <f>+SUM(D56:O56)</f>
        <v>1626</v>
      </c>
      <c r="R56" s="150"/>
      <c r="S56" s="153">
        <f>+SUM(S58:S67)</f>
        <v>2439</v>
      </c>
      <c r="T56" s="154"/>
      <c r="U56" s="155">
        <f>+SUM(U58:U67)</f>
        <v>3658.5</v>
      </c>
    </row>
    <row r="57" spans="2:21" s="162" customFormat="1" ht="6.75" customHeight="1">
      <c r="B57" s="164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26"/>
      <c r="T57" s="126"/>
    </row>
    <row r="58" spans="2:21">
      <c r="B58" s="446">
        <f>+'Datos iniciales'!$C$13</f>
        <v>0.21</v>
      </c>
      <c r="C58" s="157" t="s">
        <v>81</v>
      </c>
      <c r="D58" s="185">
        <v>50</v>
      </c>
      <c r="E58" s="185">
        <v>50</v>
      </c>
      <c r="F58" s="185">
        <v>50</v>
      </c>
      <c r="G58" s="185">
        <v>50</v>
      </c>
      <c r="H58" s="185">
        <v>50</v>
      </c>
      <c r="I58" s="185">
        <v>50</v>
      </c>
      <c r="J58" s="185">
        <v>50</v>
      </c>
      <c r="K58" s="185">
        <v>50</v>
      </c>
      <c r="L58" s="185">
        <v>50</v>
      </c>
      <c r="M58" s="185">
        <v>50</v>
      </c>
      <c r="N58" s="185">
        <v>50</v>
      </c>
      <c r="O58" s="185">
        <v>50</v>
      </c>
      <c r="P58" s="170"/>
      <c r="Q58" s="168">
        <f t="shared" ref="Q58:Q67" si="13">+SUM(D58:O58)</f>
        <v>600</v>
      </c>
      <c r="R58" s="172"/>
      <c r="S58" s="98">
        <f t="shared" ref="S58:S67" si="14">+Q58*1.5</f>
        <v>900</v>
      </c>
      <c r="T58" s="465"/>
      <c r="U58" s="99">
        <f t="shared" ref="U58:U67" si="15">+S58*1.5</f>
        <v>1350</v>
      </c>
    </row>
    <row r="59" spans="2:21">
      <c r="B59" s="446">
        <f>+'Datos iniciales'!$C$13</f>
        <v>0.21</v>
      </c>
      <c r="C59" s="157" t="s">
        <v>82</v>
      </c>
      <c r="D59" s="185">
        <v>10</v>
      </c>
      <c r="E59" s="185">
        <v>10</v>
      </c>
      <c r="F59" s="185">
        <v>10</v>
      </c>
      <c r="G59" s="185">
        <v>10</v>
      </c>
      <c r="H59" s="185">
        <v>10</v>
      </c>
      <c r="I59" s="185">
        <v>10</v>
      </c>
      <c r="J59" s="185">
        <v>10</v>
      </c>
      <c r="K59" s="185">
        <v>10</v>
      </c>
      <c r="L59" s="185">
        <v>10</v>
      </c>
      <c r="M59" s="185">
        <v>10</v>
      </c>
      <c r="N59" s="185">
        <v>10</v>
      </c>
      <c r="O59" s="185">
        <v>10</v>
      </c>
      <c r="P59" s="170"/>
      <c r="Q59" s="169">
        <f t="shared" si="13"/>
        <v>120</v>
      </c>
      <c r="R59" s="172"/>
      <c r="S59" s="98">
        <f t="shared" si="14"/>
        <v>180</v>
      </c>
      <c r="T59" s="462"/>
      <c r="U59" s="99">
        <f t="shared" si="15"/>
        <v>270</v>
      </c>
    </row>
    <row r="60" spans="2:21">
      <c r="B60" s="446">
        <f>+'Datos iniciales'!$C$13</f>
        <v>0.21</v>
      </c>
      <c r="C60" s="157" t="s">
        <v>83</v>
      </c>
      <c r="D60" s="185">
        <v>30</v>
      </c>
      <c r="E60" s="185">
        <v>30</v>
      </c>
      <c r="F60" s="185">
        <v>30</v>
      </c>
      <c r="G60" s="185">
        <v>30</v>
      </c>
      <c r="H60" s="185">
        <v>30</v>
      </c>
      <c r="I60" s="185">
        <v>30</v>
      </c>
      <c r="J60" s="185">
        <v>30</v>
      </c>
      <c r="K60" s="185">
        <v>30</v>
      </c>
      <c r="L60" s="185">
        <v>30</v>
      </c>
      <c r="M60" s="185">
        <v>30</v>
      </c>
      <c r="N60" s="185">
        <v>30</v>
      </c>
      <c r="O60" s="185">
        <v>30</v>
      </c>
      <c r="P60" s="170"/>
      <c r="Q60" s="169">
        <f t="shared" si="13"/>
        <v>360</v>
      </c>
      <c r="R60" s="172"/>
      <c r="S60" s="98">
        <f t="shared" si="14"/>
        <v>540</v>
      </c>
      <c r="T60" s="465"/>
      <c r="U60" s="99">
        <f t="shared" si="15"/>
        <v>810</v>
      </c>
    </row>
    <row r="61" spans="2:21">
      <c r="B61" s="446">
        <f>+'Datos iniciales'!$C$13</f>
        <v>0.21</v>
      </c>
      <c r="C61" s="157" t="s">
        <v>84</v>
      </c>
      <c r="D61" s="185">
        <v>5</v>
      </c>
      <c r="E61" s="185">
        <v>5</v>
      </c>
      <c r="F61" s="185">
        <v>5</v>
      </c>
      <c r="G61" s="185">
        <v>5</v>
      </c>
      <c r="H61" s="185">
        <v>5</v>
      </c>
      <c r="I61" s="185">
        <v>5</v>
      </c>
      <c r="J61" s="185">
        <v>5</v>
      </c>
      <c r="K61" s="185">
        <v>5</v>
      </c>
      <c r="L61" s="185">
        <v>5</v>
      </c>
      <c r="M61" s="185">
        <v>5</v>
      </c>
      <c r="N61" s="185">
        <v>5</v>
      </c>
      <c r="O61" s="185">
        <v>5</v>
      </c>
      <c r="P61" s="170"/>
      <c r="Q61" s="169">
        <f t="shared" si="13"/>
        <v>60</v>
      </c>
      <c r="R61" s="172"/>
      <c r="S61" s="98">
        <f t="shared" si="14"/>
        <v>90</v>
      </c>
      <c r="T61" s="462"/>
      <c r="U61" s="99">
        <f t="shared" si="15"/>
        <v>135</v>
      </c>
    </row>
    <row r="62" spans="2:21">
      <c r="C62" s="157" t="s">
        <v>85</v>
      </c>
      <c r="D62" s="185">
        <v>12.5</v>
      </c>
      <c r="E62" s="185">
        <v>12.5</v>
      </c>
      <c r="F62" s="185">
        <v>12.5</v>
      </c>
      <c r="G62" s="185">
        <v>12.5</v>
      </c>
      <c r="H62" s="185">
        <v>12.5</v>
      </c>
      <c r="I62" s="185">
        <v>12.5</v>
      </c>
      <c r="J62" s="185">
        <v>12.5</v>
      </c>
      <c r="K62" s="185">
        <v>12.5</v>
      </c>
      <c r="L62" s="185">
        <v>12.5</v>
      </c>
      <c r="M62" s="185">
        <v>12.5</v>
      </c>
      <c r="N62" s="185">
        <v>12.5</v>
      </c>
      <c r="O62" s="185">
        <v>12.5</v>
      </c>
      <c r="P62" s="170"/>
      <c r="Q62" s="169">
        <f t="shared" si="13"/>
        <v>150</v>
      </c>
      <c r="R62" s="172"/>
      <c r="S62" s="98">
        <f t="shared" si="14"/>
        <v>225</v>
      </c>
      <c r="T62" s="462"/>
      <c r="U62" s="99">
        <f t="shared" si="15"/>
        <v>337.5</v>
      </c>
    </row>
    <row r="63" spans="2:21">
      <c r="B63" s="446">
        <f>+'Datos iniciales'!$C$13</f>
        <v>0.21</v>
      </c>
      <c r="C63" s="157" t="s">
        <v>86</v>
      </c>
      <c r="D63" s="185">
        <v>1</v>
      </c>
      <c r="E63" s="185">
        <v>1</v>
      </c>
      <c r="F63" s="185">
        <v>1</v>
      </c>
      <c r="G63" s="185">
        <v>1</v>
      </c>
      <c r="H63" s="185">
        <v>1</v>
      </c>
      <c r="I63" s="185">
        <v>1</v>
      </c>
      <c r="J63" s="185">
        <v>1</v>
      </c>
      <c r="K63" s="185">
        <v>1</v>
      </c>
      <c r="L63" s="185">
        <v>1</v>
      </c>
      <c r="M63" s="185">
        <v>1</v>
      </c>
      <c r="N63" s="185">
        <v>1</v>
      </c>
      <c r="O63" s="185">
        <v>1</v>
      </c>
      <c r="P63" s="170"/>
      <c r="Q63" s="169">
        <f t="shared" si="13"/>
        <v>12</v>
      </c>
      <c r="R63" s="172"/>
      <c r="S63" s="98">
        <f t="shared" si="14"/>
        <v>18</v>
      </c>
      <c r="T63" s="465"/>
      <c r="U63" s="99">
        <f t="shared" si="15"/>
        <v>27</v>
      </c>
    </row>
    <row r="64" spans="2:21">
      <c r="B64" s="446">
        <f>+'Datos iniciales'!$C$13</f>
        <v>0.21</v>
      </c>
      <c r="C64" s="157" t="s">
        <v>87</v>
      </c>
      <c r="D64" s="185">
        <v>10</v>
      </c>
      <c r="E64" s="185">
        <v>10</v>
      </c>
      <c r="F64" s="185">
        <v>10</v>
      </c>
      <c r="G64" s="185">
        <v>10</v>
      </c>
      <c r="H64" s="185">
        <v>10</v>
      </c>
      <c r="I64" s="185">
        <v>10</v>
      </c>
      <c r="J64" s="185">
        <v>10</v>
      </c>
      <c r="K64" s="185">
        <v>10</v>
      </c>
      <c r="L64" s="185">
        <v>10</v>
      </c>
      <c r="M64" s="185">
        <v>10</v>
      </c>
      <c r="N64" s="185">
        <v>10</v>
      </c>
      <c r="O64" s="185">
        <v>10</v>
      </c>
      <c r="P64" s="170"/>
      <c r="Q64" s="169">
        <f t="shared" si="13"/>
        <v>120</v>
      </c>
      <c r="R64" s="172"/>
      <c r="S64" s="98">
        <f t="shared" si="14"/>
        <v>180</v>
      </c>
      <c r="T64" s="462"/>
      <c r="U64" s="99">
        <f t="shared" si="15"/>
        <v>270</v>
      </c>
    </row>
    <row r="65" spans="2:21">
      <c r="B65" s="446">
        <f>+'Datos iniciales'!$C$13</f>
        <v>0.21</v>
      </c>
      <c r="C65" s="157" t="s">
        <v>88</v>
      </c>
      <c r="D65" s="185">
        <v>8</v>
      </c>
      <c r="E65" s="185">
        <v>8</v>
      </c>
      <c r="F65" s="185">
        <v>8</v>
      </c>
      <c r="G65" s="185">
        <v>8</v>
      </c>
      <c r="H65" s="185">
        <v>8</v>
      </c>
      <c r="I65" s="185">
        <v>8</v>
      </c>
      <c r="J65" s="185">
        <v>8</v>
      </c>
      <c r="K65" s="185">
        <v>8</v>
      </c>
      <c r="L65" s="185">
        <v>8</v>
      </c>
      <c r="M65" s="185">
        <v>8</v>
      </c>
      <c r="N65" s="185">
        <v>8</v>
      </c>
      <c r="O65" s="185">
        <v>8</v>
      </c>
      <c r="P65" s="170"/>
      <c r="Q65" s="169">
        <f t="shared" si="13"/>
        <v>96</v>
      </c>
      <c r="R65" s="172"/>
      <c r="S65" s="98">
        <f t="shared" si="14"/>
        <v>144</v>
      </c>
      <c r="T65" s="462"/>
      <c r="U65" s="99">
        <f t="shared" si="15"/>
        <v>216</v>
      </c>
    </row>
    <row r="66" spans="2:21">
      <c r="B66" s="446">
        <f>+'Datos iniciales'!$C$13</f>
        <v>0.21</v>
      </c>
      <c r="C66" s="157" t="s">
        <v>89</v>
      </c>
      <c r="D66" s="185">
        <v>7</v>
      </c>
      <c r="E66" s="185">
        <v>7</v>
      </c>
      <c r="F66" s="185">
        <v>7</v>
      </c>
      <c r="G66" s="185">
        <v>7</v>
      </c>
      <c r="H66" s="185">
        <v>7</v>
      </c>
      <c r="I66" s="185">
        <v>7</v>
      </c>
      <c r="J66" s="185">
        <v>7</v>
      </c>
      <c r="K66" s="185">
        <v>7</v>
      </c>
      <c r="L66" s="185">
        <v>7</v>
      </c>
      <c r="M66" s="185">
        <v>7</v>
      </c>
      <c r="N66" s="185">
        <v>7</v>
      </c>
      <c r="O66" s="185">
        <v>7</v>
      </c>
      <c r="P66" s="170"/>
      <c r="Q66" s="169">
        <f t="shared" si="13"/>
        <v>84</v>
      </c>
      <c r="R66" s="172"/>
      <c r="S66" s="98">
        <f t="shared" si="14"/>
        <v>126</v>
      </c>
      <c r="T66" s="462"/>
      <c r="U66" s="99">
        <f t="shared" si="15"/>
        <v>189</v>
      </c>
    </row>
    <row r="67" spans="2:21">
      <c r="C67" s="157" t="s">
        <v>90</v>
      </c>
      <c r="D67" s="185">
        <v>2</v>
      </c>
      <c r="E67" s="185">
        <v>2</v>
      </c>
      <c r="F67" s="185">
        <v>2</v>
      </c>
      <c r="G67" s="185">
        <v>2</v>
      </c>
      <c r="H67" s="185">
        <v>2</v>
      </c>
      <c r="I67" s="185">
        <v>2</v>
      </c>
      <c r="J67" s="185">
        <v>2</v>
      </c>
      <c r="K67" s="185">
        <v>2</v>
      </c>
      <c r="L67" s="185">
        <v>2</v>
      </c>
      <c r="M67" s="185">
        <v>2</v>
      </c>
      <c r="N67" s="185">
        <v>2</v>
      </c>
      <c r="O67" s="185">
        <v>2</v>
      </c>
      <c r="P67" s="170"/>
      <c r="Q67" s="169">
        <f t="shared" si="13"/>
        <v>24</v>
      </c>
      <c r="R67" s="172"/>
      <c r="S67" s="98">
        <f t="shared" si="14"/>
        <v>36</v>
      </c>
      <c r="T67" s="465"/>
      <c r="U67" s="99">
        <f t="shared" si="15"/>
        <v>54</v>
      </c>
    </row>
    <row r="68" spans="2:21" s="162" customFormat="1" ht="6.75" customHeight="1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26"/>
      <c r="S68" s="163"/>
      <c r="T68" s="165"/>
      <c r="U68" s="163"/>
    </row>
    <row r="69" spans="2:21" ht="14.25" thickBot="1">
      <c r="B69" s="152" t="s">
        <v>91</v>
      </c>
      <c r="C69" s="138"/>
      <c r="D69" s="239">
        <f t="shared" ref="D69:O69" si="16">+D71</f>
        <v>83.333333333333329</v>
      </c>
      <c r="E69" s="239">
        <f t="shared" si="16"/>
        <v>82.796666666666667</v>
      </c>
      <c r="F69" s="239">
        <f t="shared" si="16"/>
        <v>82.257791666666662</v>
      </c>
      <c r="G69" s="239">
        <f t="shared" si="16"/>
        <v>81.716625000000008</v>
      </c>
      <c r="H69" s="239">
        <f t="shared" si="16"/>
        <v>81.17325000000001</v>
      </c>
      <c r="I69" s="239">
        <f t="shared" si="16"/>
        <v>80.627583333333334</v>
      </c>
      <c r="J69" s="239">
        <f t="shared" si="16"/>
        <v>80.079666666666668</v>
      </c>
      <c r="K69" s="239">
        <f t="shared" si="16"/>
        <v>79.529458333333338</v>
      </c>
      <c r="L69" s="239">
        <f t="shared" si="16"/>
        <v>78.976958333333343</v>
      </c>
      <c r="M69" s="239">
        <f t="shared" si="16"/>
        <v>78.422125000000008</v>
      </c>
      <c r="N69" s="239">
        <f t="shared" si="16"/>
        <v>77.864999999999995</v>
      </c>
      <c r="O69" s="239">
        <f t="shared" si="16"/>
        <v>77.305583333333331</v>
      </c>
      <c r="P69" s="152"/>
      <c r="Q69" s="151">
        <f>+SUM(D69:O69)</f>
        <v>964.08404166666662</v>
      </c>
      <c r="R69" s="150"/>
      <c r="S69" s="153">
        <f>+S71</f>
        <v>916.61383333333322</v>
      </c>
      <c r="T69" s="154"/>
      <c r="U69" s="155">
        <f>+U71</f>
        <v>899.38297499999999</v>
      </c>
    </row>
    <row r="70" spans="2:21" s="162" customFormat="1" ht="6.75" customHeight="1">
      <c r="B70" s="164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126"/>
      <c r="T70" s="126"/>
    </row>
    <row r="71" spans="2:21">
      <c r="C71" s="157" t="s">
        <v>92</v>
      </c>
      <c r="D71" s="241">
        <f>+'Cálculo préstamo Año 1'!C20</f>
        <v>83.333333333333329</v>
      </c>
      <c r="E71" s="242">
        <f>+'Cálculo préstamo Año 1'!C21</f>
        <v>82.796666666666667</v>
      </c>
      <c r="F71" s="242">
        <f>+'Cálculo préstamo Año 1'!C22</f>
        <v>82.257791666666662</v>
      </c>
      <c r="G71" s="242">
        <f>+'Cálculo préstamo Año 1'!C23</f>
        <v>81.716625000000008</v>
      </c>
      <c r="H71" s="242">
        <f>+'Cálculo préstamo Año 1'!C24</f>
        <v>81.17325000000001</v>
      </c>
      <c r="I71" s="242">
        <f>+'Cálculo préstamo Año 1'!C25</f>
        <v>80.627583333333334</v>
      </c>
      <c r="J71" s="242">
        <f>+'Cálculo préstamo Año 1'!C26</f>
        <v>80.079666666666668</v>
      </c>
      <c r="K71" s="242">
        <f>+'Cálculo préstamo Año 1'!C27</f>
        <v>79.529458333333338</v>
      </c>
      <c r="L71" s="242">
        <f>+'Cálculo préstamo Año 1'!C28</f>
        <v>78.976958333333343</v>
      </c>
      <c r="M71" s="242">
        <f>+'Cálculo préstamo Año 1'!C29</f>
        <v>78.422125000000008</v>
      </c>
      <c r="N71" s="242">
        <f>+'Cálculo préstamo Año 1'!C30</f>
        <v>77.864999999999995</v>
      </c>
      <c r="O71" s="242">
        <f>+'Cálculo préstamo Año 1'!C31</f>
        <v>77.305583333333331</v>
      </c>
      <c r="P71" s="170"/>
      <c r="Q71" s="171">
        <f>+SUM(D71:O71)</f>
        <v>964.08404166666662</v>
      </c>
      <c r="R71" s="172"/>
      <c r="S71" s="173">
        <f>+SUM('Cálculo préstamo Año 1'!C32:C43)+SUM('Cálculo préstamo Año 2'!C20:C31)</f>
        <v>916.61383333333322</v>
      </c>
      <c r="T71" s="174"/>
      <c r="U71" s="175">
        <f>+SUM('Cálculo préstamo Año 1'!C44:C55)+SUM('Cálculo préstamo Año 2'!C32:C43)+SUM('Cálculo préstamo Año 3'!C20:C31)</f>
        <v>899.38297499999999</v>
      </c>
    </row>
    <row r="72" spans="2:21" s="162" customFormat="1" ht="6.75" customHeight="1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26"/>
      <c r="S72" s="163"/>
      <c r="T72" s="165"/>
      <c r="U72" s="163"/>
    </row>
    <row r="73" spans="2:21" ht="14.25" thickBot="1">
      <c r="B73" s="152" t="s">
        <v>93</v>
      </c>
      <c r="C73" s="138"/>
      <c r="D73" s="151">
        <f t="shared" ref="D73:O73" si="17">+D75</f>
        <v>1111.6111111111111</v>
      </c>
      <c r="E73" s="151">
        <f t="shared" si="17"/>
        <v>1111.6111111111111</v>
      </c>
      <c r="F73" s="151">
        <f t="shared" si="17"/>
        <v>1111.6111111111111</v>
      </c>
      <c r="G73" s="151">
        <f t="shared" si="17"/>
        <v>1111.6111111111111</v>
      </c>
      <c r="H73" s="151">
        <f t="shared" si="17"/>
        <v>1111.6111111111111</v>
      </c>
      <c r="I73" s="151">
        <f t="shared" si="17"/>
        <v>1111.6111111111111</v>
      </c>
      <c r="J73" s="151">
        <f t="shared" si="17"/>
        <v>1111.6111111111111</v>
      </c>
      <c r="K73" s="151">
        <f t="shared" si="17"/>
        <v>1111.6111111111111</v>
      </c>
      <c r="L73" s="151">
        <f t="shared" si="17"/>
        <v>1111.6111111111111</v>
      </c>
      <c r="M73" s="151">
        <f t="shared" si="17"/>
        <v>1111.6111111111111</v>
      </c>
      <c r="N73" s="151">
        <f t="shared" si="17"/>
        <v>1111.6111111111111</v>
      </c>
      <c r="O73" s="151">
        <f t="shared" si="17"/>
        <v>1111.6111111111111</v>
      </c>
      <c r="P73" s="152"/>
      <c r="Q73" s="151">
        <f>+SUM(D73:O73)</f>
        <v>13339.333333333334</v>
      </c>
      <c r="R73" s="150"/>
      <c r="S73" s="153">
        <f>+S75</f>
        <v>55018</v>
      </c>
      <c r="T73" s="154"/>
      <c r="U73" s="155">
        <f>+U75</f>
        <v>75702.666666666672</v>
      </c>
    </row>
    <row r="74" spans="2:21" s="162" customFormat="1" ht="6.75" customHeight="1">
      <c r="B74" s="164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26"/>
      <c r="T74" s="126"/>
    </row>
    <row r="75" spans="2:21">
      <c r="C75" s="157" t="s">
        <v>94</v>
      </c>
      <c r="D75" s="168">
        <f>+'1 Inversión'!$G$7/12</f>
        <v>1111.6111111111111</v>
      </c>
      <c r="E75" s="169">
        <f>+'1 Inversión'!$G$7/12</f>
        <v>1111.6111111111111</v>
      </c>
      <c r="F75" s="169">
        <f>+'1 Inversión'!$G$7/12</f>
        <v>1111.6111111111111</v>
      </c>
      <c r="G75" s="169">
        <f>+'1 Inversión'!$G$7/12</f>
        <v>1111.6111111111111</v>
      </c>
      <c r="H75" s="169">
        <f>+'1 Inversión'!$G$7/12</f>
        <v>1111.6111111111111</v>
      </c>
      <c r="I75" s="169">
        <f>+'1 Inversión'!$G$7/12</f>
        <v>1111.6111111111111</v>
      </c>
      <c r="J75" s="169">
        <f>+'1 Inversión'!$G$7/12</f>
        <v>1111.6111111111111</v>
      </c>
      <c r="K75" s="169">
        <f>+'1 Inversión'!$G$7/12</f>
        <v>1111.6111111111111</v>
      </c>
      <c r="L75" s="169">
        <f>+'1 Inversión'!$G$7/12</f>
        <v>1111.6111111111111</v>
      </c>
      <c r="M75" s="169">
        <f>+'1 Inversión'!$G$7/12</f>
        <v>1111.6111111111111</v>
      </c>
      <c r="N75" s="169">
        <f>+'1 Inversión'!$G$7/12</f>
        <v>1111.6111111111111</v>
      </c>
      <c r="O75" s="169">
        <f>+'1 Inversión'!$G$7/12</f>
        <v>1111.6111111111111</v>
      </c>
      <c r="P75" s="170"/>
      <c r="Q75" s="171">
        <f>+SUM(D75:O75)</f>
        <v>13339.333333333334</v>
      </c>
      <c r="R75" s="172"/>
      <c r="S75" s="173">
        <f>+'Cuadro Amortización'!G25</f>
        <v>55018</v>
      </c>
      <c r="T75" s="174"/>
      <c r="U75" s="175">
        <f>+'Cuadro Amortización'!J25</f>
        <v>75702.666666666672</v>
      </c>
    </row>
    <row r="76" spans="2:21" s="162" customFormat="1" ht="6.75" customHeight="1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26"/>
      <c r="S76" s="163"/>
      <c r="T76" s="165"/>
      <c r="U76" s="163"/>
    </row>
    <row r="77" spans="2:21" s="162" customFormat="1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26"/>
      <c r="S77" s="163"/>
      <c r="T77" s="165"/>
      <c r="U77" s="163"/>
    </row>
  </sheetData>
  <mergeCells count="7">
    <mergeCell ref="B33:B34"/>
    <mergeCell ref="B35:B36"/>
    <mergeCell ref="B37:B38"/>
    <mergeCell ref="B1:C1"/>
    <mergeCell ref="B13:B14"/>
    <mergeCell ref="B15:B16"/>
    <mergeCell ref="B17:B18"/>
  </mergeCells>
  <phoneticPr fontId="2" type="noConversion"/>
  <pageMargins left="0.2" right="0.2" top="0.37" bottom="0.23" header="0" footer="0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indexed="53"/>
  </sheetPr>
  <dimension ref="B1:K30"/>
  <sheetViews>
    <sheetView showGridLines="0" zoomScale="115" workbookViewId="0">
      <selection activeCell="B28" sqref="B28"/>
    </sheetView>
  </sheetViews>
  <sheetFormatPr baseColWidth="10" defaultColWidth="9.140625" defaultRowHeight="13.5"/>
  <cols>
    <col min="1" max="1" width="9.140625" style="127" customWidth="1"/>
    <col min="2" max="2" width="27.140625" style="127" bestFit="1" customWidth="1"/>
    <col min="3" max="3" width="6" style="127" customWidth="1"/>
    <col min="4" max="16384" width="9.140625" style="127"/>
  </cols>
  <sheetData>
    <row r="1" spans="2:11">
      <c r="B1" s="486" t="str">
        <f>+'Datos iniciales'!C4</f>
        <v>ALFA</v>
      </c>
      <c r="C1" s="486"/>
      <c r="D1" s="486"/>
    </row>
    <row r="3" spans="2:11" ht="14.25" thickBot="1">
      <c r="B3" s="190" t="s">
        <v>63</v>
      </c>
      <c r="C3" s="191"/>
      <c r="D3" s="191"/>
      <c r="E3" s="191"/>
      <c r="F3" s="191"/>
      <c r="G3" s="191"/>
      <c r="H3" s="191"/>
      <c r="I3" s="191"/>
      <c r="J3" s="192"/>
    </row>
    <row r="5" spans="2:11" ht="14.25" thickBot="1">
      <c r="B5" s="140"/>
      <c r="C5" s="140"/>
      <c r="D5" s="141" t="s">
        <v>100</v>
      </c>
      <c r="E5" s="141" t="s">
        <v>101</v>
      </c>
      <c r="F5" s="141" t="s">
        <v>102</v>
      </c>
      <c r="G5" s="141" t="s">
        <v>103</v>
      </c>
      <c r="H5" s="141" t="s">
        <v>104</v>
      </c>
      <c r="I5" s="141" t="s">
        <v>1</v>
      </c>
      <c r="J5" s="141" t="s">
        <v>105</v>
      </c>
    </row>
    <row r="7" spans="2:11">
      <c r="B7" s="189" t="str">
        <f>CONCATENATE('3 Previsión Ingresos-Gastos'!B11," (€)")</f>
        <v>Ventas (€)</v>
      </c>
      <c r="C7" s="189"/>
      <c r="D7" s="122">
        <v>0.2</v>
      </c>
      <c r="E7" s="122">
        <v>0.2</v>
      </c>
      <c r="F7" s="122">
        <v>0.2</v>
      </c>
      <c r="G7" s="122">
        <v>0.2</v>
      </c>
      <c r="H7" s="122">
        <v>0.2</v>
      </c>
      <c r="I7" s="193">
        <f>+SUM(D7:H7)</f>
        <v>1</v>
      </c>
      <c r="J7" s="194" t="str">
        <f>+IF(I7&lt;&gt;1,"Falta/Sobra assignar"," - ")</f>
        <v xml:space="preserve"> - </v>
      </c>
    </row>
    <row r="8" spans="2:11">
      <c r="B8" s="189" t="str">
        <f>+'3 Previsión Ingresos-Gastos'!C22</f>
        <v>Otros ingresos (€)</v>
      </c>
      <c r="C8" s="189"/>
      <c r="D8" s="122">
        <v>0.2</v>
      </c>
      <c r="E8" s="122">
        <v>0.2</v>
      </c>
      <c r="F8" s="122">
        <v>0.2</v>
      </c>
      <c r="G8" s="122">
        <v>0.2</v>
      </c>
      <c r="H8" s="122">
        <v>0.2</v>
      </c>
      <c r="I8" s="193">
        <f>+SUM(D8:H8)</f>
        <v>1</v>
      </c>
      <c r="J8" s="194" t="str">
        <f>+IF(I8&lt;&gt;1,"Falta/Sobra assignar"," - ")</f>
        <v xml:space="preserve"> - </v>
      </c>
    </row>
    <row r="9" spans="2:11">
      <c r="J9" s="195"/>
      <c r="K9" s="127" t="s">
        <v>253</v>
      </c>
    </row>
    <row r="10" spans="2:11">
      <c r="B10" s="189" t="str">
        <f>+'3 Previsión Ingresos-Gastos'!B31</f>
        <v>Aprovisionamientos</v>
      </c>
      <c r="C10" s="189"/>
      <c r="D10" s="122">
        <v>0.2</v>
      </c>
      <c r="E10" s="122">
        <v>0.2</v>
      </c>
      <c r="F10" s="122">
        <v>0.2</v>
      </c>
      <c r="G10" s="122">
        <v>0.2</v>
      </c>
      <c r="H10" s="122">
        <v>0.2</v>
      </c>
      <c r="I10" s="193">
        <f>+SUM(D10:H10)</f>
        <v>1</v>
      </c>
      <c r="J10" s="194" t="str">
        <f>+IF(I10&lt;&gt;1,"Falta/Sobra assignar"," - ")</f>
        <v xml:space="preserve"> - </v>
      </c>
    </row>
    <row r="11" spans="2:11">
      <c r="D11" s="193"/>
      <c r="E11" s="193"/>
      <c r="F11" s="193"/>
      <c r="G11" s="193"/>
      <c r="H11" s="193"/>
      <c r="I11" s="193"/>
      <c r="J11" s="195"/>
    </row>
    <row r="12" spans="2:11">
      <c r="B12" s="189" t="str">
        <f>+'3 Previsión Ingresos-Gastos'!B40</f>
        <v>Otros aprovisionamientos</v>
      </c>
      <c r="C12" s="189"/>
      <c r="D12" s="122">
        <v>0.2</v>
      </c>
      <c r="E12" s="122">
        <v>0.2</v>
      </c>
      <c r="F12" s="122">
        <v>0.2</v>
      </c>
      <c r="G12" s="122">
        <v>0.2</v>
      </c>
      <c r="H12" s="122">
        <v>0.2</v>
      </c>
      <c r="I12" s="193">
        <f>+SUM(D12:H12)</f>
        <v>1</v>
      </c>
      <c r="J12" s="194" t="str">
        <f>+IF(I12&lt;&gt;1,"Falta/Sobra assignar"," - ")</f>
        <v xml:space="preserve"> - </v>
      </c>
    </row>
    <row r="13" spans="2:11">
      <c r="B13" s="189" t="str">
        <f>+'3 Previsión Ingresos-Gastos'!B44</f>
        <v>Trabajos realizados por terceros</v>
      </c>
      <c r="C13" s="189"/>
      <c r="D13" s="122">
        <v>0.2</v>
      </c>
      <c r="E13" s="122">
        <v>0.2</v>
      </c>
      <c r="F13" s="122">
        <v>0.2</v>
      </c>
      <c r="G13" s="122">
        <v>0.2</v>
      </c>
      <c r="H13" s="122">
        <v>0.2</v>
      </c>
      <c r="I13" s="193">
        <f>+SUM(D13:H13)</f>
        <v>1</v>
      </c>
      <c r="J13" s="194" t="str">
        <f>+IF(I13&lt;&gt;1,"Falta/Sobra assignar"," - ")</f>
        <v xml:space="preserve"> - </v>
      </c>
    </row>
    <row r="14" spans="2:11">
      <c r="D14" s="193"/>
      <c r="E14" s="193"/>
      <c r="F14" s="193"/>
      <c r="G14" s="193"/>
      <c r="H14" s="193"/>
      <c r="I14" s="193"/>
      <c r="J14" s="195"/>
    </row>
    <row r="15" spans="2:11">
      <c r="B15" s="189" t="str">
        <f>+'3 Previsión Ingresos-Gastos'!C52</f>
        <v>Sueldos y salarios (€)</v>
      </c>
      <c r="C15" s="189"/>
      <c r="D15" s="198">
        <v>1</v>
      </c>
      <c r="E15" s="196"/>
      <c r="F15" s="197"/>
      <c r="G15" s="197"/>
      <c r="H15" s="197"/>
      <c r="I15" s="193">
        <f>+SUM(D15:H15)</f>
        <v>1</v>
      </c>
      <c r="J15" s="194" t="str">
        <f>+IF(I15&lt;&gt;1,"Falta/Sobra assignar"," - ")</f>
        <v xml:space="preserve"> - </v>
      </c>
    </row>
    <row r="16" spans="2:11">
      <c r="B16" s="189" t="str">
        <f>+'3 Previsión Ingresos-Gastos'!C53</f>
        <v>Seguridad Social (€)</v>
      </c>
      <c r="C16" s="189"/>
      <c r="D16" s="198"/>
      <c r="E16" s="196">
        <v>1</v>
      </c>
      <c r="F16" s="197"/>
      <c r="G16" s="197"/>
      <c r="H16" s="197"/>
      <c r="I16" s="193">
        <f>+SUM(D16:H16)</f>
        <v>1</v>
      </c>
      <c r="J16" s="194" t="str">
        <f>+IF(I16&lt;&gt;1,"Falta/Sobra assignar"," - ")</f>
        <v xml:space="preserve"> - </v>
      </c>
    </row>
    <row r="17" spans="2:10">
      <c r="B17" s="189" t="str">
        <f>+'3 Previsión Ingresos-Gastos'!C54</f>
        <v>Otras variables (€)</v>
      </c>
      <c r="C17" s="189"/>
      <c r="D17" s="198">
        <v>1</v>
      </c>
      <c r="E17" s="196"/>
      <c r="F17" s="197"/>
      <c r="G17" s="197"/>
      <c r="H17" s="197"/>
      <c r="I17" s="193">
        <f>+SUM(D17:H17)</f>
        <v>1</v>
      </c>
      <c r="J17" s="194" t="str">
        <f>+IF(I17&lt;&gt;1,"Falta/Sobra assignar"," - ")</f>
        <v xml:space="preserve"> - </v>
      </c>
    </row>
    <row r="18" spans="2:10">
      <c r="D18" s="193"/>
      <c r="E18" s="193"/>
      <c r="F18" s="193"/>
      <c r="G18" s="193"/>
      <c r="H18" s="193"/>
      <c r="I18" s="193"/>
      <c r="J18" s="195"/>
    </row>
    <row r="19" spans="2:10">
      <c r="B19" s="189" t="str">
        <f>+'3 Previsión Ingresos-Gastos'!C58</f>
        <v>Alquileres y cánones (€)</v>
      </c>
      <c r="C19" s="189"/>
      <c r="D19" s="200">
        <v>1</v>
      </c>
      <c r="E19" s="201"/>
      <c r="F19" s="202"/>
      <c r="G19" s="202"/>
      <c r="H19" s="202"/>
      <c r="I19" s="193">
        <f t="shared" ref="I19:I28" si="0">+SUM(D19:H19)</f>
        <v>1</v>
      </c>
      <c r="J19" s="194" t="str">
        <f t="shared" ref="J19:J28" si="1">+IF(I19&lt;&gt;1,"Falta/Sobra assignar"," - ")</f>
        <v xml:space="preserve"> - </v>
      </c>
    </row>
    <row r="20" spans="2:10">
      <c r="B20" s="189" t="str">
        <f>+'3 Previsión Ingresos-Gastos'!C59</f>
        <v>Reparación y conservación (€)</v>
      </c>
      <c r="C20" s="189"/>
      <c r="D20" s="122">
        <v>0.2</v>
      </c>
      <c r="E20" s="122">
        <v>0.2</v>
      </c>
      <c r="F20" s="122">
        <v>0.2</v>
      </c>
      <c r="G20" s="122">
        <v>0.2</v>
      </c>
      <c r="H20" s="122">
        <v>0.2</v>
      </c>
      <c r="I20" s="193">
        <f t="shared" si="0"/>
        <v>1</v>
      </c>
      <c r="J20" s="194" t="str">
        <f t="shared" si="1"/>
        <v xml:space="preserve"> - </v>
      </c>
    </row>
    <row r="21" spans="2:10">
      <c r="B21" s="189" t="str">
        <f>+'3 Previsión Ingresos-Gastos'!C60</f>
        <v>Profesionales independientes (€)</v>
      </c>
      <c r="C21" s="189"/>
      <c r="D21" s="122">
        <v>0.2</v>
      </c>
      <c r="E21" s="122">
        <v>0.2</v>
      </c>
      <c r="F21" s="122">
        <v>0.2</v>
      </c>
      <c r="G21" s="122">
        <v>0.2</v>
      </c>
      <c r="H21" s="122">
        <v>0.2</v>
      </c>
      <c r="I21" s="193">
        <f t="shared" si="0"/>
        <v>1</v>
      </c>
      <c r="J21" s="194" t="str">
        <f t="shared" si="1"/>
        <v xml:space="preserve"> - </v>
      </c>
    </row>
    <row r="22" spans="2:10">
      <c r="B22" s="189" t="str">
        <f>+'3 Previsión Ingresos-Gastos'!C61</f>
        <v>Transportes (€)</v>
      </c>
      <c r="C22" s="189"/>
      <c r="D22" s="122">
        <v>0.2</v>
      </c>
      <c r="E22" s="122">
        <v>0.2</v>
      </c>
      <c r="F22" s="122">
        <v>0.2</v>
      </c>
      <c r="G22" s="122">
        <v>0.2</v>
      </c>
      <c r="H22" s="122">
        <v>0.2</v>
      </c>
      <c r="I22" s="193">
        <f t="shared" si="0"/>
        <v>1</v>
      </c>
      <c r="J22" s="194" t="str">
        <f t="shared" si="1"/>
        <v xml:space="preserve"> - </v>
      </c>
    </row>
    <row r="23" spans="2:10">
      <c r="B23" s="189" t="str">
        <f>+'3 Previsión Ingresos-Gastos'!C62</f>
        <v>Seguros (€)</v>
      </c>
      <c r="C23" s="189"/>
      <c r="D23" s="203">
        <v>1</v>
      </c>
      <c r="E23" s="204"/>
      <c r="F23" s="205"/>
      <c r="G23" s="205"/>
      <c r="H23" s="205"/>
      <c r="I23" s="193">
        <f t="shared" si="0"/>
        <v>1</v>
      </c>
      <c r="J23" s="194" t="str">
        <f t="shared" si="1"/>
        <v xml:space="preserve"> - </v>
      </c>
    </row>
    <row r="24" spans="2:10">
      <c r="B24" s="189" t="str">
        <f>+'3 Previsión Ingresos-Gastos'!C63</f>
        <v>Servicios bancarios (€)</v>
      </c>
      <c r="C24" s="189"/>
      <c r="D24" s="200">
        <v>1</v>
      </c>
      <c r="E24" s="201"/>
      <c r="F24" s="202"/>
      <c r="G24" s="202"/>
      <c r="H24" s="202"/>
      <c r="I24" s="193">
        <f t="shared" si="0"/>
        <v>1</v>
      </c>
      <c r="J24" s="194" t="str">
        <f t="shared" si="1"/>
        <v xml:space="preserve"> - </v>
      </c>
    </row>
    <row r="25" spans="2:10">
      <c r="B25" s="189" t="str">
        <f>+'3 Previsión Ingresos-Gastos'!C64</f>
        <v>Publicidad y propaganda (€)</v>
      </c>
      <c r="C25" s="189"/>
      <c r="D25" s="122">
        <v>0.2</v>
      </c>
      <c r="E25" s="122">
        <v>0.2</v>
      </c>
      <c r="F25" s="122">
        <v>0.2</v>
      </c>
      <c r="G25" s="122">
        <v>0.2</v>
      </c>
      <c r="H25" s="122">
        <v>0.2</v>
      </c>
      <c r="I25" s="193">
        <f t="shared" si="0"/>
        <v>1</v>
      </c>
      <c r="J25" s="194" t="str">
        <f t="shared" si="1"/>
        <v xml:space="preserve"> - </v>
      </c>
    </row>
    <row r="26" spans="2:10">
      <c r="B26" s="189" t="str">
        <f>+'3 Previsión Ingresos-Gastos'!C65</f>
        <v>Suministros (€)</v>
      </c>
      <c r="C26" s="189"/>
      <c r="D26" s="206">
        <v>1</v>
      </c>
      <c r="E26" s="207"/>
      <c r="F26" s="208"/>
      <c r="G26" s="208"/>
      <c r="H26" s="208"/>
      <c r="I26" s="193">
        <f t="shared" si="0"/>
        <v>1</v>
      </c>
      <c r="J26" s="194" t="str">
        <f t="shared" si="1"/>
        <v xml:space="preserve"> - </v>
      </c>
    </row>
    <row r="27" spans="2:10">
      <c r="B27" s="189" t="str">
        <f>+'3 Previsión Ingresos-Gastos'!C66</f>
        <v>Otros gastos (€)</v>
      </c>
      <c r="C27" s="189"/>
      <c r="D27" s="122">
        <v>0.2</v>
      </c>
      <c r="E27" s="122">
        <v>0.2</v>
      </c>
      <c r="F27" s="122">
        <v>0.2</v>
      </c>
      <c r="G27" s="122">
        <v>0.2</v>
      </c>
      <c r="H27" s="122">
        <v>0.2</v>
      </c>
      <c r="I27" s="193">
        <f t="shared" si="0"/>
        <v>1</v>
      </c>
      <c r="J27" s="194" t="str">
        <f t="shared" si="1"/>
        <v xml:space="preserve"> - </v>
      </c>
    </row>
    <row r="28" spans="2:10">
      <c r="B28" s="189" t="str">
        <f>+'3 Previsión Ingresos-Gastos'!C67</f>
        <v>Tributos no estatales (€)</v>
      </c>
      <c r="C28" s="189"/>
      <c r="D28" s="203">
        <v>1</v>
      </c>
      <c r="E28" s="204"/>
      <c r="F28" s="205"/>
      <c r="G28" s="205"/>
      <c r="H28" s="205"/>
      <c r="I28" s="193">
        <f t="shared" si="0"/>
        <v>1</v>
      </c>
      <c r="J28" s="194" t="str">
        <f t="shared" si="1"/>
        <v xml:space="preserve"> - </v>
      </c>
    </row>
    <row r="29" spans="2:10">
      <c r="D29" s="193"/>
      <c r="E29" s="193"/>
      <c r="F29" s="193"/>
      <c r="G29" s="193"/>
      <c r="H29" s="193"/>
      <c r="I29" s="193"/>
      <c r="J29" s="156"/>
    </row>
    <row r="30" spans="2:10">
      <c r="D30" s="193"/>
      <c r="E30" s="193"/>
      <c r="F30" s="193"/>
      <c r="G30" s="193"/>
      <c r="H30" s="193"/>
      <c r="I30" s="193"/>
      <c r="J30" s="199"/>
    </row>
  </sheetData>
  <mergeCells count="1">
    <mergeCell ref="B1:D1"/>
  </mergeCells>
  <phoneticPr fontId="2" type="noConversion"/>
  <pageMargins left="0.6" right="0.75" top="1" bottom="1" header="0" footer="0"/>
  <pageSetup paperSize="9" scale="8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indexed="21"/>
  </sheetPr>
  <dimension ref="B1:H34"/>
  <sheetViews>
    <sheetView showGridLines="0" zoomScale="115" workbookViewId="0">
      <selection activeCell="I13" sqref="I13"/>
    </sheetView>
  </sheetViews>
  <sheetFormatPr baseColWidth="10" defaultColWidth="9.140625" defaultRowHeight="13.5"/>
  <cols>
    <col min="1" max="1" width="4" style="127" customWidth="1"/>
    <col min="2" max="2" width="43.85546875" style="127" customWidth="1"/>
    <col min="3" max="3" width="12" style="125" bestFit="1" customWidth="1"/>
    <col min="4" max="4" width="20.42578125" style="125" customWidth="1"/>
    <col min="5" max="5" width="12.5703125" style="127" customWidth="1"/>
    <col min="6" max="16384" width="9.140625" style="127"/>
  </cols>
  <sheetData>
    <row r="1" spans="2:8">
      <c r="B1" s="486" t="str">
        <f>+'Datos iniciales'!C4</f>
        <v>ALFA</v>
      </c>
      <c r="C1" s="486"/>
    </row>
    <row r="3" spans="2:8" ht="14.25" thickBot="1">
      <c r="B3" s="186" t="s">
        <v>95</v>
      </c>
      <c r="C3" s="187"/>
      <c r="D3" s="187"/>
      <c r="E3" s="187"/>
      <c r="F3" s="188"/>
    </row>
    <row r="5" spans="2:8">
      <c r="B5" s="215" t="str">
        <f>+CONCATENATE("Resultado ejercicio"," ",'Datos iniciales'!C8)</f>
        <v>Resultado ejercicio 2014</v>
      </c>
      <c r="C5" s="216"/>
      <c r="D5" s="216">
        <f>'B Pérdidas y Ganancias'!F46</f>
        <v>-3828.9974062500009</v>
      </c>
    </row>
    <row r="7" spans="2:8">
      <c r="B7" s="156" t="s">
        <v>237</v>
      </c>
      <c r="D7" s="216">
        <f>(D5-D9-D10-D11-D12-D13)</f>
        <v>0</v>
      </c>
      <c r="E7" s="127" t="str">
        <f>+IF(ROUND(D7,2)=0,"OK","Excés / Defecte en la distribució")</f>
        <v>OK</v>
      </c>
      <c r="H7" s="468"/>
    </row>
    <row r="8" spans="2:8">
      <c r="H8" s="468"/>
    </row>
    <row r="9" spans="2:8">
      <c r="B9" s="189" t="s">
        <v>238</v>
      </c>
      <c r="C9" s="189"/>
      <c r="D9" s="185"/>
      <c r="G9" s="428" t="s">
        <v>254</v>
      </c>
      <c r="H9" s="468"/>
    </row>
    <row r="10" spans="2:8">
      <c r="B10" s="189" t="s">
        <v>239</v>
      </c>
      <c r="C10" s="189"/>
      <c r="D10" s="185"/>
      <c r="G10" s="428" t="s">
        <v>255</v>
      </c>
    </row>
    <row r="11" spans="2:8">
      <c r="B11" s="189" t="s">
        <v>240</v>
      </c>
      <c r="C11" s="189"/>
      <c r="D11" s="185"/>
      <c r="G11" s="428" t="s">
        <v>256</v>
      </c>
    </row>
    <row r="12" spans="2:8">
      <c r="B12" s="189" t="s">
        <v>241</v>
      </c>
      <c r="C12" s="189"/>
      <c r="D12" s="455"/>
      <c r="G12" s="428" t="s">
        <v>257</v>
      </c>
    </row>
    <row r="13" spans="2:8">
      <c r="B13" s="189" t="s">
        <v>242</v>
      </c>
      <c r="C13" s="189"/>
      <c r="D13" s="464">
        <f>+IF(D5&lt;0,D5,0)</f>
        <v>-3828.9974062500009</v>
      </c>
      <c r="G13" s="428" t="s">
        <v>258</v>
      </c>
    </row>
    <row r="15" spans="2:8">
      <c r="B15" s="217" t="str">
        <f>+CONCATENATE("Resultado ejercicio"," ",'1 Inversión'!I4)</f>
        <v>Resultado ejercicio 2015</v>
      </c>
      <c r="C15" s="218"/>
      <c r="D15" s="218">
        <f>'B Pérdidas y Ganancias'!I46</f>
        <v>14022.347750000001</v>
      </c>
    </row>
    <row r="17" spans="2:6">
      <c r="B17" s="156" t="s">
        <v>237</v>
      </c>
      <c r="D17" s="218">
        <f>(D15-D19-D20-D21-D22-D23)</f>
        <v>12522.347750000001</v>
      </c>
      <c r="E17" s="127" t="str">
        <f>+IF(ROUND(D17,2)=0,"OK","Exceso / Defecto en la distribución")</f>
        <v>Exceso / Defecto en la distribución</v>
      </c>
    </row>
    <row r="19" spans="2:6">
      <c r="B19" s="189" t="str">
        <f>+B9</f>
        <v>Reservas legales y estatutarias</v>
      </c>
      <c r="C19" s="189"/>
      <c r="D19" s="184"/>
    </row>
    <row r="20" spans="2:6">
      <c r="B20" s="189" t="str">
        <f>+B10</f>
        <v>Otras reservas</v>
      </c>
      <c r="C20" s="189"/>
      <c r="D20" s="184"/>
    </row>
    <row r="21" spans="2:6">
      <c r="B21" s="189" t="str">
        <f>+B11</f>
        <v>Dividendo</v>
      </c>
      <c r="C21" s="189"/>
      <c r="D21" s="184"/>
    </row>
    <row r="22" spans="2:6">
      <c r="B22" s="189" t="str">
        <f>+B12</f>
        <v>Compensación pérdidas ejercicios anteriores</v>
      </c>
      <c r="C22" s="189">
        <f>+IF(D5&lt;0,D5,0)</f>
        <v>-3828.9974062500009</v>
      </c>
      <c r="D22" s="184">
        <v>1500</v>
      </c>
      <c r="E22" s="125">
        <f>+C22+D22</f>
        <v>-2328.9974062500009</v>
      </c>
      <c r="F22" s="127" t="str">
        <f>+IF(E22&lt;0,"Compensar únicamente en caso de beneficio","OK")</f>
        <v>Compensar únicamente en caso de beneficio</v>
      </c>
    </row>
    <row r="23" spans="2:6">
      <c r="B23" s="189" t="s">
        <v>250</v>
      </c>
      <c r="C23" s="189"/>
      <c r="D23" s="466">
        <f>+IF(D15&lt;0,D15,0)</f>
        <v>0</v>
      </c>
    </row>
    <row r="24" spans="2:6">
      <c r="C24" s="219"/>
    </row>
    <row r="26" spans="2:6">
      <c r="B26" s="220" t="str">
        <f>+CONCATENATE("Resultado ejercicio"," ",'1 Inversión'!M4)</f>
        <v>Resultado ejercicio 2016</v>
      </c>
      <c r="C26" s="221"/>
      <c r="D26" s="221">
        <f>'B Pérdidas y Ganancias'!L46</f>
        <v>-40948.389106250004</v>
      </c>
    </row>
    <row r="28" spans="2:6">
      <c r="B28" s="156" t="s">
        <v>237</v>
      </c>
      <c r="D28" s="221">
        <f>(D26-D30-D31-D32-D33-D34)</f>
        <v>0</v>
      </c>
      <c r="E28" s="127" t="str">
        <f>+IF(ROUND(D28,2)=0,"OK","Excés / Defecte en la distribució")</f>
        <v>OK</v>
      </c>
    </row>
    <row r="30" spans="2:6">
      <c r="B30" s="189" t="str">
        <f>+B19</f>
        <v>Reservas legales y estatutarias</v>
      </c>
      <c r="C30" s="189"/>
      <c r="D30" s="183"/>
    </row>
    <row r="31" spans="2:6">
      <c r="B31" s="189" t="str">
        <f>+B20</f>
        <v>Otras reservas</v>
      </c>
      <c r="C31" s="189"/>
      <c r="D31" s="183"/>
    </row>
    <row r="32" spans="2:6">
      <c r="B32" s="189" t="str">
        <f>+B21</f>
        <v>Dividendo</v>
      </c>
      <c r="C32" s="189"/>
      <c r="D32" s="183"/>
    </row>
    <row r="33" spans="2:6">
      <c r="B33" s="189" t="str">
        <f>+B22</f>
        <v>Compensación pérdidas ejercicios anteriores</v>
      </c>
      <c r="C33" s="189">
        <f>+IF(D15&lt;0,D15,0)+IF(E22&lt;0,E22,0)</f>
        <v>-2328.9974062500009</v>
      </c>
      <c r="D33" s="183"/>
      <c r="E33" s="125">
        <f>+C33+D33</f>
        <v>-2328.9974062500009</v>
      </c>
      <c r="F33" s="127" t="str">
        <f>+IF(E33&lt;0,"Compensar únicamente en caso de beneficio","OK")</f>
        <v>Compensar únicamente en caso de beneficio</v>
      </c>
    </row>
    <row r="34" spans="2:6">
      <c r="B34" s="189" t="s">
        <v>250</v>
      </c>
      <c r="C34" s="189"/>
      <c r="D34" s="467">
        <f>+IF(D26&lt;0,D26,0)</f>
        <v>-40948.389106250004</v>
      </c>
    </row>
  </sheetData>
  <mergeCells count="1">
    <mergeCell ref="B1:C1"/>
  </mergeCells>
  <phoneticPr fontId="2" type="noConversion"/>
  <pageMargins left="0.23" right="0.46" top="0.81" bottom="0.52" header="0" footer="0"/>
  <pageSetup paperSize="9" scale="8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 enableFormatConditionsCalculation="0">
    <tabColor indexed="48"/>
  </sheetPr>
  <dimension ref="A1:R39"/>
  <sheetViews>
    <sheetView showGridLines="0" zoomScale="85" zoomScaleNormal="85" workbookViewId="0">
      <selection activeCell="B18" sqref="B18"/>
    </sheetView>
  </sheetViews>
  <sheetFormatPr baseColWidth="10" defaultColWidth="9.140625" defaultRowHeight="13.5"/>
  <cols>
    <col min="1" max="1" width="8.5703125" style="127" customWidth="1"/>
    <col min="2" max="2" width="9.7109375" style="127" customWidth="1"/>
    <col min="3" max="3" width="11.5703125" style="125" customWidth="1"/>
    <col min="4" max="4" width="12.140625" style="125" bestFit="1" customWidth="1"/>
    <col min="5" max="5" width="12.5703125" style="127" customWidth="1"/>
    <col min="6" max="6" width="9.140625" style="127" customWidth="1"/>
    <col min="7" max="7" width="10.28515625" style="127" bestFit="1" customWidth="1"/>
    <col min="8" max="8" width="9.140625" style="127" customWidth="1"/>
    <col min="9" max="9" width="10.28515625" style="127" bestFit="1" customWidth="1"/>
    <col min="10" max="10" width="9.140625" style="127" customWidth="1"/>
    <col min="11" max="11" width="11" style="127" customWidth="1"/>
    <col min="12" max="12" width="11.28515625" style="127" customWidth="1"/>
    <col min="13" max="13" width="4" style="127" customWidth="1"/>
    <col min="14" max="14" width="10.85546875" style="127" customWidth="1"/>
    <col min="15" max="15" width="11.28515625" style="127" customWidth="1"/>
    <col min="16" max="16" width="4" style="127" customWidth="1"/>
    <col min="17" max="17" width="12.28515625" style="127" bestFit="1" customWidth="1"/>
    <col min="18" max="18" width="11.7109375" style="127" customWidth="1"/>
    <col min="19" max="16384" width="9.140625" style="127"/>
  </cols>
  <sheetData>
    <row r="1" spans="2:18">
      <c r="B1" s="469" t="str">
        <f>+'Datos iniciales'!C4</f>
        <v>ALFA</v>
      </c>
      <c r="C1" s="469"/>
    </row>
    <row r="3" spans="2:18" ht="14.25" thickBot="1">
      <c r="B3" s="186" t="s">
        <v>243</v>
      </c>
      <c r="C3" s="187"/>
      <c r="D3" s="187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8" spans="2:18">
      <c r="B8" s="215" t="s">
        <v>244</v>
      </c>
      <c r="C8" s="216"/>
      <c r="D8" s="415" t="str">
        <f>+CONCATENATE("1T - ",'Datos iniciales'!C8)</f>
        <v>1T - 2014</v>
      </c>
      <c r="F8" s="415" t="str">
        <f>+CONCATENATE("2T - ",'Datos iniciales'!C8)</f>
        <v>2T - 2014</v>
      </c>
      <c r="H8" s="415" t="str">
        <f>+CONCATENATE("3T - ",'Datos iniciales'!C8)</f>
        <v>3T - 2014</v>
      </c>
      <c r="J8" s="416" t="str">
        <f>+CONCATENATE("4T - ",'Datos iniciales'!C8)</f>
        <v>4T - 2014</v>
      </c>
      <c r="L8" s="447">
        <f>+'3 Previsión Ingresos-Gastos'!Q5</f>
        <v>2014</v>
      </c>
      <c r="O8" s="447">
        <f>+'3 Previsión Ingresos-Gastos'!S5</f>
        <v>2015</v>
      </c>
      <c r="R8" s="447">
        <f>+'3 Previsión Ingresos-Gastos'!U5</f>
        <v>2016</v>
      </c>
    </row>
    <row r="10" spans="2:18" ht="38.25">
      <c r="B10" s="473" t="s">
        <v>245</v>
      </c>
      <c r="C10" s="419" t="s">
        <v>246</v>
      </c>
      <c r="D10" s="414" t="s">
        <v>201</v>
      </c>
      <c r="E10" s="419" t="s">
        <v>246</v>
      </c>
      <c r="F10" s="414" t="s">
        <v>201</v>
      </c>
      <c r="G10" s="419" t="s">
        <v>246</v>
      </c>
      <c r="H10" s="414" t="s">
        <v>201</v>
      </c>
      <c r="I10" s="419" t="s">
        <v>246</v>
      </c>
      <c r="J10" s="414" t="s">
        <v>201</v>
      </c>
      <c r="K10" s="419" t="s">
        <v>246</v>
      </c>
      <c r="L10" s="414" t="s">
        <v>201</v>
      </c>
      <c r="N10" s="419" t="s">
        <v>246</v>
      </c>
      <c r="O10" s="414" t="s">
        <v>201</v>
      </c>
      <c r="Q10" s="419" t="s">
        <v>246</v>
      </c>
      <c r="R10" s="414" t="s">
        <v>201</v>
      </c>
    </row>
    <row r="11" spans="2:18">
      <c r="B11" s="125"/>
      <c r="C11" s="127"/>
    </row>
    <row r="12" spans="2:18">
      <c r="B12" s="413">
        <f>+'Datos iniciales'!C13</f>
        <v>0.21</v>
      </c>
      <c r="C12" s="420">
        <f>(('3 Previsión Ingresos-Gastos'!D13*'3 Previsión Ingresos-Gastos'!D14)+'3 Previsión Ingresos-Gastos'!E13*'3 Previsión Ingresos-Gastos'!E14)+'3 Previsión Ingresos-Gastos'!F13*'3 Previsión Ingresos-Gastos'!F14+'3 Previsión Ingresos-Gastos'!D20+'3 Previsión Ingresos-Gastos'!E20+'3 Previsión Ingresos-Gastos'!F20</f>
        <v>630</v>
      </c>
      <c r="D12" s="464">
        <f>+C12*$B12</f>
        <v>132.29999999999998</v>
      </c>
      <c r="E12" s="420">
        <f>(('3 Previsión Ingresos-Gastos'!G13*'3 Previsión Ingresos-Gastos'!G14)+'3 Previsión Ingresos-Gastos'!H13*'3 Previsión Ingresos-Gastos'!H14)+'3 Previsión Ingresos-Gastos'!I13*'3 Previsión Ingresos-Gastos'!I14+'3 Previsión Ingresos-Gastos'!G20+'3 Previsión Ingresos-Gastos'!H20+'3 Previsión Ingresos-Gastos'!I20</f>
        <v>1530</v>
      </c>
      <c r="F12" s="464">
        <f>+E12*$B12</f>
        <v>321.3</v>
      </c>
      <c r="G12" s="420">
        <f>(('3 Previsión Ingresos-Gastos'!J13*'3 Previsión Ingresos-Gastos'!J14)+'3 Previsión Ingresos-Gastos'!K13*'3 Previsión Ingresos-Gastos'!K14)+'3 Previsión Ingresos-Gastos'!L13*'3 Previsión Ingresos-Gastos'!L14+'3 Previsión Ingresos-Gastos'!J20+'3 Previsión Ingresos-Gastos'!K20+'3 Previsión Ingresos-Gastos'!L20</f>
        <v>2430</v>
      </c>
      <c r="H12" s="464">
        <f>+G12*$B12</f>
        <v>510.29999999999995</v>
      </c>
      <c r="I12" s="420">
        <f>(('3 Previsión Ingresos-Gastos'!M13*'3 Previsión Ingresos-Gastos'!M14)+'3 Previsión Ingresos-Gastos'!N13*'3 Previsión Ingresos-Gastos'!N14)+'3 Previsión Ingresos-Gastos'!O13*'3 Previsión Ingresos-Gastos'!O14+'3 Previsión Ingresos-Gastos'!M20+'3 Previsión Ingresos-Gastos'!N20+'3 Previsión Ingresos-Gastos'!O20</f>
        <v>3330</v>
      </c>
      <c r="J12" s="464">
        <f>+I12*$B12</f>
        <v>699.3</v>
      </c>
      <c r="K12" s="420">
        <f>+C12+E12+G12+I12</f>
        <v>7920</v>
      </c>
      <c r="L12" s="470">
        <f>+K12*$B12</f>
        <v>1663.2</v>
      </c>
      <c r="N12" s="420">
        <f>+('3 Previsión Ingresos-Gastos'!S13*'3 Previsión Ingresos-Gastos'!S14)+'3 Previsión Ingresos-Gastos'!S22</f>
        <v>70350</v>
      </c>
      <c r="O12" s="470">
        <f>+N12*$B12</f>
        <v>14773.5</v>
      </c>
      <c r="Q12" s="420">
        <f>+('3 Previsión Ingresos-Gastos'!U13*'3 Previsión Ingresos-Gastos'!U14)+'3 Previsión Ingresos-Gastos'!U22</f>
        <v>15825</v>
      </c>
      <c r="R12" s="470">
        <f>+Q12*$B12</f>
        <v>3323.25</v>
      </c>
    </row>
    <row r="13" spans="2:18">
      <c r="B13" s="413">
        <f>+'Datos iniciales'!D13</f>
        <v>0.1</v>
      </c>
      <c r="C13" s="420">
        <f>(('3 Previsión Ingresos-Gastos'!D15*'3 Previsión Ingresos-Gastos'!D16)+'3 Previsión Ingresos-Gastos'!E15*'3 Previsión Ingresos-Gastos'!E16)+'3 Previsión Ingresos-Gastos'!F15*'3 Previsión Ingresos-Gastos'!F16</f>
        <v>90</v>
      </c>
      <c r="D13" s="464">
        <f>+C13*$B13</f>
        <v>9</v>
      </c>
      <c r="E13" s="420">
        <f>(('3 Previsión Ingresos-Gastos'!G15*'3 Previsión Ingresos-Gastos'!G16)+'3 Previsión Ingresos-Gastos'!H15*'3 Previsión Ingresos-Gastos'!H16)+'3 Previsión Ingresos-Gastos'!I15*'3 Previsión Ingresos-Gastos'!I16</f>
        <v>225</v>
      </c>
      <c r="F13" s="464">
        <f>+E13*$B13</f>
        <v>22.5</v>
      </c>
      <c r="G13" s="420">
        <f>(('3 Previsión Ingresos-Gastos'!J15*'3 Previsión Ingresos-Gastos'!J16)+'3 Previsión Ingresos-Gastos'!K15*'3 Previsión Ingresos-Gastos'!K16)+'3 Previsión Ingresos-Gastos'!L15*'3 Previsión Ingresos-Gastos'!L16</f>
        <v>360</v>
      </c>
      <c r="H13" s="464">
        <f>+G13*$B13</f>
        <v>36</v>
      </c>
      <c r="I13" s="420">
        <f>(('3 Previsión Ingresos-Gastos'!M15*'3 Previsión Ingresos-Gastos'!M16)+'3 Previsión Ingresos-Gastos'!N15*'3 Previsión Ingresos-Gastos'!N16)+'3 Previsión Ingresos-Gastos'!O15*'3 Previsión Ingresos-Gastos'!O16</f>
        <v>495</v>
      </c>
      <c r="J13" s="464">
        <f>+I13*$B13</f>
        <v>49.5</v>
      </c>
      <c r="K13" s="420">
        <f>+C13+E13+G13+I13</f>
        <v>1170</v>
      </c>
      <c r="L13" s="470">
        <f>+K13*$B13</f>
        <v>117</v>
      </c>
      <c r="N13" s="420">
        <f>+'3 Previsión Ingresos-Gastos'!S15*'3 Previsión Ingresos-Gastos'!S16</f>
        <v>1755</v>
      </c>
      <c r="O13" s="470">
        <f>+N13*$B13</f>
        <v>175.5</v>
      </c>
      <c r="Q13" s="420">
        <f>+'3 Previsión Ingresos-Gastos'!U15*'3 Previsión Ingresos-Gastos'!U16</f>
        <v>2340</v>
      </c>
      <c r="R13" s="470">
        <f>+Q13*$B13</f>
        <v>234</v>
      </c>
    </row>
    <row r="14" spans="2:18">
      <c r="B14" s="413">
        <f>+'Datos iniciales'!E13</f>
        <v>0.04</v>
      </c>
      <c r="C14" s="420">
        <f>(('3 Previsión Ingresos-Gastos'!D17*'3 Previsión Ingresos-Gastos'!D18)+'3 Previsión Ingresos-Gastos'!E17*'3 Previsión Ingresos-Gastos'!E18)+'3 Previsión Ingresos-Gastos'!F17*'3 Previsión Ingresos-Gastos'!F18</f>
        <v>60</v>
      </c>
      <c r="D14" s="464">
        <f>+C14*$B14</f>
        <v>2.4</v>
      </c>
      <c r="E14" s="420">
        <f>(('3 Previsión Ingresos-Gastos'!G17*'3 Previsión Ingresos-Gastos'!G18)+'3 Previsión Ingresos-Gastos'!H17*'3 Previsión Ingresos-Gastos'!H18)+'3 Previsión Ingresos-Gastos'!I17*'3 Previsión Ingresos-Gastos'!I18</f>
        <v>150</v>
      </c>
      <c r="F14" s="464">
        <f>+E14*$B14</f>
        <v>6</v>
      </c>
      <c r="G14" s="420">
        <f>(('3 Previsión Ingresos-Gastos'!J17*'3 Previsión Ingresos-Gastos'!J18)+'3 Previsión Ingresos-Gastos'!K17*'3 Previsión Ingresos-Gastos'!K18)+'3 Previsión Ingresos-Gastos'!L17*'3 Previsión Ingresos-Gastos'!L18</f>
        <v>240</v>
      </c>
      <c r="H14" s="464">
        <f>+G14*$B14</f>
        <v>9.6</v>
      </c>
      <c r="I14" s="420">
        <f>(('3 Previsión Ingresos-Gastos'!M17*'3 Previsión Ingresos-Gastos'!M18)+'3 Previsión Ingresos-Gastos'!N17*'3 Previsión Ingresos-Gastos'!N18)+'3 Previsión Ingresos-Gastos'!O17*'3 Previsión Ingresos-Gastos'!O18</f>
        <v>330</v>
      </c>
      <c r="J14" s="464">
        <f>+I14*$B14</f>
        <v>13.200000000000001</v>
      </c>
      <c r="K14" s="420">
        <f>+C14+E14+G14+I14</f>
        <v>780</v>
      </c>
      <c r="L14" s="470">
        <f>+K14*$B14</f>
        <v>31.2</v>
      </c>
      <c r="N14" s="420">
        <f>+'3 Previsión Ingresos-Gastos'!S17*'3 Previsión Ingresos-Gastos'!S18</f>
        <v>1170</v>
      </c>
      <c r="O14" s="470">
        <f>+N14*$B14</f>
        <v>46.800000000000004</v>
      </c>
      <c r="Q14" s="420">
        <f>+'3 Previsión Ingresos-Gastos'!U17*'3 Previsión Ingresos-Gastos'!U18</f>
        <v>1755</v>
      </c>
      <c r="R14" s="470">
        <f>+Q14*$B14</f>
        <v>70.2</v>
      </c>
    </row>
    <row r="15" spans="2:18">
      <c r="B15" s="165"/>
      <c r="C15" s="165"/>
      <c r="D15" s="471"/>
    </row>
    <row r="16" spans="2:18">
      <c r="B16" s="358" t="s">
        <v>32</v>
      </c>
      <c r="C16" s="358"/>
      <c r="D16" s="472">
        <f>+D12+D13+D14</f>
        <v>143.69999999999999</v>
      </c>
      <c r="F16" s="472">
        <f>+F12+F13+F14</f>
        <v>349.8</v>
      </c>
      <c r="H16" s="472">
        <f>+H12+H13+H14</f>
        <v>555.9</v>
      </c>
      <c r="J16" s="472">
        <f>+J12+J13+J14</f>
        <v>762</v>
      </c>
      <c r="L16" s="472">
        <f>+L12+L13+L14</f>
        <v>1811.4</v>
      </c>
      <c r="O16" s="472">
        <f>+O12+O13+O14</f>
        <v>14995.8</v>
      </c>
      <c r="R16" s="472">
        <f>+R12+R13+R14</f>
        <v>3627.45</v>
      </c>
    </row>
    <row r="18" spans="1:18">
      <c r="B18" s="218" t="s">
        <v>251</v>
      </c>
      <c r="C18" s="218"/>
      <c r="D18" s="417" t="str">
        <f>+D8</f>
        <v>1T - 2014</v>
      </c>
      <c r="F18" s="417" t="str">
        <f>+F8</f>
        <v>2T - 2014</v>
      </c>
      <c r="H18" s="417" t="str">
        <f>+H8</f>
        <v>3T - 2014</v>
      </c>
      <c r="J18" s="418" t="str">
        <f>+J8</f>
        <v>4T - 2014</v>
      </c>
      <c r="L18" s="447">
        <f>+L8</f>
        <v>2014</v>
      </c>
      <c r="O18" s="447">
        <f>+O8</f>
        <v>2015</v>
      </c>
      <c r="R18" s="447">
        <f>+R8</f>
        <v>2016</v>
      </c>
    </row>
    <row r="20" spans="1:18" ht="38.25">
      <c r="B20" s="474" t="s">
        <v>245</v>
      </c>
      <c r="C20" s="419" t="s">
        <v>246</v>
      </c>
      <c r="D20" s="414" t="s">
        <v>201</v>
      </c>
      <c r="E20" s="419" t="s">
        <v>246</v>
      </c>
      <c r="F20" s="414" t="s">
        <v>201</v>
      </c>
      <c r="G20" s="419" t="s">
        <v>246</v>
      </c>
      <c r="H20" s="414" t="s">
        <v>201</v>
      </c>
      <c r="I20" s="419" t="s">
        <v>246</v>
      </c>
      <c r="J20" s="414" t="s">
        <v>201</v>
      </c>
      <c r="K20" s="419" t="s">
        <v>246</v>
      </c>
      <c r="L20" s="414" t="s">
        <v>201</v>
      </c>
      <c r="N20" s="419" t="s">
        <v>246</v>
      </c>
      <c r="O20" s="414" t="s">
        <v>201</v>
      </c>
      <c r="Q20" s="419" t="s">
        <v>246</v>
      </c>
      <c r="R20" s="414" t="s">
        <v>201</v>
      </c>
    </row>
    <row r="21" spans="1:18">
      <c r="B21" s="125"/>
      <c r="C21" s="127"/>
    </row>
    <row r="22" spans="1:18">
      <c r="A22" s="156" t="s">
        <v>202</v>
      </c>
      <c r="B22" s="413">
        <f>+B24</f>
        <v>0.21</v>
      </c>
      <c r="C22" s="420">
        <f>+'1 Inversión'!E9+'1 Inversión'!E18+'1 Inversión'!E31</f>
        <v>51035</v>
      </c>
      <c r="D22" s="466">
        <f>+C22*$B22</f>
        <v>10717.35</v>
      </c>
      <c r="E22" s="420"/>
      <c r="F22" s="466"/>
      <c r="G22" s="420"/>
      <c r="H22" s="466"/>
      <c r="I22" s="420"/>
      <c r="J22" s="466"/>
      <c r="K22" s="420">
        <f>+C22+E22+G22+I22</f>
        <v>51035</v>
      </c>
      <c r="L22" s="470">
        <f>+K22*$B22</f>
        <v>10717.35</v>
      </c>
      <c r="N22" s="420">
        <f>+'1 Inversión'!I9+'1 Inversión'!I18+'1 Inversión'!I31</f>
        <v>73071</v>
      </c>
      <c r="O22" s="470">
        <f>+N22*$B22</f>
        <v>15344.91</v>
      </c>
      <c r="Q22" s="420">
        <f>+'1 Inversión'!M9+'1 Inversión'!M18+'1 Inversión'!M31</f>
        <v>73107</v>
      </c>
      <c r="R22" s="470">
        <f>+Q22*$B22</f>
        <v>15352.47</v>
      </c>
    </row>
    <row r="23" spans="1:18">
      <c r="B23" s="125"/>
      <c r="C23" s="127"/>
    </row>
    <row r="24" spans="1:18">
      <c r="B24" s="413">
        <f>+B12</f>
        <v>0.21</v>
      </c>
      <c r="C24" s="420">
        <f>('3 Previsión Ingresos-Gastos'!D33*'3 Previsión Ingresos-Gastos'!D34)+('3 Previsión Ingresos-Gastos'!E33*'3 Previsión Ingresos-Gastos'!E34)+('3 Previsión Ingresos-Gastos'!F33*'3 Previsión Ingresos-Gastos'!F34)+'3 Previsión Ingresos-Gastos'!D40+'3 Previsión Ingresos-Gastos'!E40+'3 Previsión Ingresos-Gastos'!F40+'3 Previsión Ingresos-Gastos'!F44+'3 Previsión Ingresos-Gastos'!E44+'3 Previsión Ingresos-Gastos'!D44+'3 Previsión Ingresos-Gastos'!D56+'3 Previsión Ingresos-Gastos'!E56+'3 Previsión Ingresos-Gastos'!F56-'3 Previsión Ingresos-Gastos'!D62-'3 Previsión Ingresos-Gastos'!E62-'3 Previsión Ingresos-Gastos'!F62-'3 Previsión Ingresos-Gastos'!D67-'3 Previsión Ingresos-Gastos'!E67-'3 Previsión Ingresos-Gastos'!F67</f>
        <v>498</v>
      </c>
      <c r="D24" s="466">
        <f>+C24*$B24</f>
        <v>104.58</v>
      </c>
      <c r="E24" s="420">
        <f>+(('3 Previsión Ingresos-Gastos'!G33*'3 Previsión Ingresos-Gastos'!G34)+('3 Previsión Ingresos-Gastos'!H33*'3 Previsión Ingresos-Gastos'!H34)+('3 Previsión Ingresos-Gastos'!I33*'3 Previsión Ingresos-Gastos'!I34)+('3 Previsión Ingresos-Gastos'!G42+'3 Previsión Ingresos-Gastos'!H42+'3 Previsión Ingresos-Gastos'!I42))+'3 Previsión Ingresos-Gastos'!G46+'3 Previsión Ingresos-Gastos'!H46+'3 Previsión Ingresos-Gastos'!I46+'3 Previsión Ingresos-Gastos'!G58+'3 Previsión Ingresos-Gastos'!H58+'3 Previsión Ingresos-Gastos'!I58+'3 Previsión Ingresos-Gastos'!G60+'3 Previsión Ingresos-Gastos'!H60+'3 Previsión Ingresos-Gastos'!I60+'3 Previsión Ingresos-Gastos'!G61+'3 Previsión Ingresos-Gastos'!H61+'3 Previsión Ingresos-Gastos'!I61+'3 Previsión Ingresos-Gastos'!G63+'3 Previsión Ingresos-Gastos'!H63+'3 Previsión Ingresos-Gastos'!I63+'3 Previsión Ingresos-Gastos'!G64+'3 Previsión Ingresos-Gastos'!H64+'3 Previsión Ingresos-Gastos'!I64+'3 Previsión Ingresos-Gastos'!G65+'3 Previsión Ingresos-Gastos'!H65+'3 Previsión Ingresos-Gastos'!I65+'3 Previsión Ingresos-Gastos'!G66+'3 Previsión Ingresos-Gastos'!H66+'3 Previsión Ingresos-Gastos'!I66+'3 Previsión Ingresos-Gastos'!G59+'3 Previsión Ingresos-Gastos'!H59+'3 Previsión Ingresos-Gastos'!I59</f>
        <v>561</v>
      </c>
      <c r="F24" s="466">
        <f>+E24*$B24</f>
        <v>117.81</v>
      </c>
      <c r="G24" s="420">
        <f>(('3 Previsión Ingresos-Gastos'!J33*'3 Previsión Ingresos-Gastos'!J34)+'3 Previsión Ingresos-Gastos'!K33*'3 Previsión Ingresos-Gastos'!K34)+'3 Previsión Ingresos-Gastos'!L33*'3 Previsión Ingresos-Gastos'!L34+'3 Previsión Ingresos-Gastos'!J40+'3 Previsión Ingresos-Gastos'!K40+'3 Previsión Ingresos-Gastos'!L40+'3 Previsión Ingresos-Gastos'!J44+'3 Previsión Ingresos-Gastos'!K44+'3 Previsión Ingresos-Gastos'!L44+'3 Previsión Ingresos-Gastos'!J56+'3 Previsión Ingresos-Gastos'!K56+'3 Previsión Ingresos-Gastos'!L56-'3 Previsión Ingresos-Gastos'!J62-'3 Previsión Ingresos-Gastos'!K62-'3 Previsión Ingresos-Gastos'!L62-'3 Previsión Ingresos-Gastos'!L67-'3 Previsión Ingresos-Gastos'!K67-'3 Previsión Ingresos-Gastos'!J67</f>
        <v>624</v>
      </c>
      <c r="H24" s="466">
        <f>+G24*$B24</f>
        <v>131.04</v>
      </c>
      <c r="I24" s="420">
        <f>(('3 Previsión Ingresos-Gastos'!M33*'3 Previsión Ingresos-Gastos'!M34)+'3 Previsión Ingresos-Gastos'!N33*'3 Previsión Ingresos-Gastos'!N34)+'3 Previsión Ingresos-Gastos'!O33*'3 Previsión Ingresos-Gastos'!O34+'3 Previsión Ingresos-Gastos'!M42+'3 Previsión Ingresos-Gastos'!N42+'3 Previsión Ingresos-Gastos'!O42+'3 Previsión Ingresos-Gastos'!O46+'3 Previsión Ingresos-Gastos'!N46+'3 Previsión Ingresos-Gastos'!M46+'3 Previsión Ingresos-Gastos'!M56+'3 Previsión Ingresos-Gastos'!N56+'3 Previsión Ingresos-Gastos'!O56-'3 Previsión Ingresos-Gastos'!O62-'3 Previsión Ingresos-Gastos'!N62-'3 Previsión Ingresos-Gastos'!M62-'3 Previsión Ingresos-Gastos'!M67-'3 Previsión Ingresos-Gastos'!N67-'3 Previsión Ingresos-Gastos'!O67</f>
        <v>687</v>
      </c>
      <c r="J24" s="466">
        <f>+I24*$B24</f>
        <v>144.26999999999998</v>
      </c>
      <c r="K24" s="420">
        <f>+C24+E24+G24+I24</f>
        <v>2370</v>
      </c>
      <c r="L24" s="470">
        <f>+K24*$B24</f>
        <v>497.7</v>
      </c>
      <c r="N24" s="420">
        <f>+('3 Previsión Ingresos-Gastos'!S33*'3 Previsión Ingresos-Gastos'!S34)+'3 Previsión Ingresos-Gastos'!S40+'3 Previsión Ingresos-Gastos'!S44+'3 Previsión Ingresos-Gastos'!S56-'3 Previsión Ingresos-Gastos'!S62-'3 Previsión Ingresos-Gastos'!S67</f>
        <v>3555</v>
      </c>
      <c r="O24" s="470">
        <f>+N24*$B24</f>
        <v>746.55</v>
      </c>
      <c r="Q24" s="420">
        <f>+('3 Previsión Ingresos-Gastos'!U33*'3 Previsión Ingresos-Gastos'!U34)+'3 Previsión Ingresos-Gastos'!U40+'3 Previsión Ingresos-Gastos'!U44+'3 Previsión Ingresos-Gastos'!U56-'3 Previsión Ingresos-Gastos'!U62-'3 Previsión Ingresos-Gastos'!U67</f>
        <v>5332.5</v>
      </c>
      <c r="R24" s="470">
        <f>+Q24*$B24</f>
        <v>1119.825</v>
      </c>
    </row>
    <row r="25" spans="1:18">
      <c r="B25" s="413">
        <f>+B13</f>
        <v>0.1</v>
      </c>
      <c r="C25" s="420">
        <f>(('3 Previsión Ingresos-Gastos'!D35*'3 Previsión Ingresos-Gastos'!D36)+'3 Previsión Ingresos-Gastos'!E35*'3 Previsión Ingresos-Gastos'!E36)+'3 Previsión Ingresos-Gastos'!F35*'3 Previsión Ingresos-Gastos'!F36</f>
        <v>24</v>
      </c>
      <c r="D25" s="466">
        <f>+C25*$B25</f>
        <v>2.4000000000000004</v>
      </c>
      <c r="E25" s="420">
        <f>(('3 Previsión Ingresos-Gastos'!G35*'3 Previsión Ingresos-Gastos'!G36)+'3 Previsión Ingresos-Gastos'!H35*'3 Previsión Ingresos-Gastos'!H36)+'3 Previsión Ingresos-Gastos'!I35*'3 Previsión Ingresos-Gastos'!I36</f>
        <v>60</v>
      </c>
      <c r="F25" s="466">
        <f>+E25*$B25</f>
        <v>6</v>
      </c>
      <c r="G25" s="420">
        <f>(('3 Previsión Ingresos-Gastos'!J35*'3 Previsión Ingresos-Gastos'!J36)+'3 Previsión Ingresos-Gastos'!K35*'3 Previsión Ingresos-Gastos'!K36)+'3 Previsión Ingresos-Gastos'!L35*'3 Previsión Ingresos-Gastos'!L36</f>
        <v>96</v>
      </c>
      <c r="H25" s="466">
        <f>+G25*$B25</f>
        <v>9.6000000000000014</v>
      </c>
      <c r="I25" s="420">
        <f>(('3 Previsión Ingresos-Gastos'!M35*'3 Previsión Ingresos-Gastos'!M36)+'3 Previsión Ingresos-Gastos'!N35*'3 Previsión Ingresos-Gastos'!N36)+'3 Previsión Ingresos-Gastos'!O35*'3 Previsión Ingresos-Gastos'!O36</f>
        <v>132</v>
      </c>
      <c r="J25" s="466">
        <f>+I25*$B25</f>
        <v>13.200000000000001</v>
      </c>
      <c r="K25" s="420">
        <f>+C25+E25+G25+I25</f>
        <v>312</v>
      </c>
      <c r="L25" s="470">
        <f>+K25*$B25</f>
        <v>31.200000000000003</v>
      </c>
      <c r="N25" s="420">
        <f>+'3 Previsión Ingresos-Gastos'!S35*'3 Previsión Ingresos-Gastos'!S36</f>
        <v>468</v>
      </c>
      <c r="O25" s="470">
        <f>+N25*$B25</f>
        <v>46.800000000000004</v>
      </c>
      <c r="Q25" s="420">
        <f>+'3 Previsión Ingresos-Gastos'!U35*'3 Previsión Ingresos-Gastos'!U36</f>
        <v>702</v>
      </c>
      <c r="R25" s="470">
        <f>+Q25*$B25</f>
        <v>70.2</v>
      </c>
    </row>
    <row r="26" spans="1:18">
      <c r="B26" s="413">
        <f>+B14</f>
        <v>0.04</v>
      </c>
      <c r="C26" s="420">
        <f>(('3 Previsión Ingresos-Gastos'!D37*'3 Previsión Ingresos-Gastos'!D38)+'3 Previsión Ingresos-Gastos'!E37*'3 Previsión Ingresos-Gastos'!E38)+'3 Previsión Ingresos-Gastos'!F37*'3 Previsión Ingresos-Gastos'!F38</f>
        <v>24</v>
      </c>
      <c r="D26" s="466">
        <f>+C26*$B26</f>
        <v>0.96</v>
      </c>
      <c r="E26" s="420">
        <f>(('3 Previsión Ingresos-Gastos'!G37*'3 Previsión Ingresos-Gastos'!G38)+'3 Previsión Ingresos-Gastos'!H37*'3 Previsión Ingresos-Gastos'!H38)+'3 Previsión Ingresos-Gastos'!I37*'3 Previsión Ingresos-Gastos'!I38</f>
        <v>60</v>
      </c>
      <c r="F26" s="466">
        <f>+E26*$B26</f>
        <v>2.4</v>
      </c>
      <c r="G26" s="420">
        <f>(('3 Previsión Ingresos-Gastos'!J37*'3 Previsión Ingresos-Gastos'!J38)+'3 Previsión Ingresos-Gastos'!K37*'3 Previsión Ingresos-Gastos'!K38)+('3 Previsión Ingresos-Gastos'!L37*'3 Previsión Ingresos-Gastos'!L38)</f>
        <v>96</v>
      </c>
      <c r="H26" s="466">
        <f>+G26*$B26</f>
        <v>3.84</v>
      </c>
      <c r="I26" s="420">
        <f>(('3 Previsión Ingresos-Gastos'!M37*'3 Previsión Ingresos-Gastos'!M38)+'3 Previsión Ingresos-Gastos'!N37*'3 Previsión Ingresos-Gastos'!N38)+'3 Previsión Ingresos-Gastos'!O37*'3 Previsión Ingresos-Gastos'!O38</f>
        <v>132</v>
      </c>
      <c r="J26" s="466">
        <f>+I26*$B26</f>
        <v>5.28</v>
      </c>
      <c r="K26" s="420">
        <f>+C26+E26+G26+I26</f>
        <v>312</v>
      </c>
      <c r="L26" s="470">
        <f>+K26*$B26</f>
        <v>12.48</v>
      </c>
      <c r="N26" s="420">
        <f>+'3 Previsión Ingresos-Gastos'!S37*'3 Previsión Ingresos-Gastos'!S38</f>
        <v>468</v>
      </c>
      <c r="O26" s="470">
        <f>+N26*$B26</f>
        <v>18.72</v>
      </c>
      <c r="Q26" s="420">
        <f>+'3 Previsión Ingresos-Gastos'!U37*'3 Previsión Ingresos-Gastos'!U38</f>
        <v>702</v>
      </c>
      <c r="R26" s="470">
        <f>+Q26*$B26</f>
        <v>28.080000000000002</v>
      </c>
    </row>
    <row r="27" spans="1:18">
      <c r="B27" s="165"/>
      <c r="C27" s="165"/>
      <c r="D27" s="471"/>
      <c r="E27" s="125"/>
    </row>
    <row r="28" spans="1:18">
      <c r="B28" s="358" t="s">
        <v>32</v>
      </c>
      <c r="C28" s="358"/>
      <c r="D28" s="472">
        <f>+D24+D25+D26+D22</f>
        <v>10825.29</v>
      </c>
      <c r="F28" s="472">
        <f>+F24+F25+F26+F22</f>
        <v>126.21000000000001</v>
      </c>
      <c r="H28" s="472">
        <f>+H24+H25+H26+H22</f>
        <v>144.47999999999999</v>
      </c>
      <c r="J28" s="472">
        <f>+J24+J25+J26+J22</f>
        <v>162.74999999999997</v>
      </c>
      <c r="L28" s="472">
        <f>+L24+L25+L26+L22</f>
        <v>11258.73</v>
      </c>
      <c r="O28" s="472">
        <f>+O24+O25+O26+O22</f>
        <v>16156.98</v>
      </c>
      <c r="R28" s="472">
        <f>+R24+R25+R26+R22</f>
        <v>16570.575000000001</v>
      </c>
    </row>
    <row r="29" spans="1:18">
      <c r="C29" s="219"/>
    </row>
    <row r="31" spans="1:18">
      <c r="B31" s="220" t="s">
        <v>247</v>
      </c>
      <c r="C31" s="221"/>
      <c r="D31" s="421">
        <f>+D16-D28</f>
        <v>-10681.59</v>
      </c>
      <c r="F31" s="221">
        <f>+F16-F28</f>
        <v>223.59</v>
      </c>
      <c r="H31" s="221">
        <f>+H16-H28</f>
        <v>411.41999999999996</v>
      </c>
      <c r="J31" s="221">
        <f>+J16-J28</f>
        <v>599.25</v>
      </c>
      <c r="L31" s="221">
        <f>+L16-L28</f>
        <v>-9447.33</v>
      </c>
      <c r="O31" s="221">
        <f>+O16-O28</f>
        <v>-1161.1800000000003</v>
      </c>
      <c r="R31" s="221">
        <f>+R16-R28</f>
        <v>-12943.125</v>
      </c>
    </row>
    <row r="33" spans="2:12">
      <c r="B33" s="328"/>
      <c r="C33" s="165"/>
      <c r="D33" s="358"/>
      <c r="E33" s="126"/>
      <c r="F33" s="126"/>
      <c r="L33" s="125"/>
    </row>
    <row r="34" spans="2:12">
      <c r="B34" s="126"/>
      <c r="C34" s="165"/>
      <c r="D34" s="165"/>
      <c r="E34" s="126"/>
      <c r="F34" s="126"/>
    </row>
    <row r="35" spans="2:12">
      <c r="B35" s="165"/>
      <c r="C35" s="165"/>
      <c r="D35" s="170"/>
      <c r="E35" s="126"/>
      <c r="F35" s="126"/>
    </row>
    <row r="36" spans="2:12">
      <c r="B36" s="165"/>
      <c r="C36" s="165"/>
      <c r="D36" s="170"/>
      <c r="E36" s="126"/>
      <c r="F36" s="126"/>
    </row>
    <row r="37" spans="2:12">
      <c r="B37" s="165"/>
      <c r="C37" s="165"/>
      <c r="D37" s="170"/>
      <c r="E37" s="126"/>
      <c r="F37" s="126"/>
    </row>
    <row r="38" spans="2:12">
      <c r="B38" s="165"/>
      <c r="C38" s="165"/>
      <c r="D38" s="170"/>
      <c r="E38" s="165"/>
      <c r="F38" s="126"/>
    </row>
    <row r="39" spans="2:12">
      <c r="B39" s="165"/>
      <c r="C39" s="165"/>
      <c r="D39" s="170"/>
      <c r="E39" s="126"/>
      <c r="F39" s="126"/>
    </row>
  </sheetData>
  <phoneticPr fontId="2" type="noConversion"/>
  <pageMargins left="0.23" right="0.46" top="0.81" bottom="0.52" header="0" footer="0"/>
  <pageSetup paperSize="9" scale="8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indexed="23"/>
  </sheetPr>
  <dimension ref="A1:AD127"/>
  <sheetViews>
    <sheetView showGridLines="0" zoomScale="85" zoomScaleNormal="85" workbookViewId="0">
      <pane xSplit="3" ySplit="7" topLeftCell="AB86" activePane="bottomRight" state="frozen"/>
      <selection pane="topRight" activeCell="D1" sqref="D1"/>
      <selection pane="bottomLeft" activeCell="A8" sqref="A8"/>
      <selection pane="bottomRight" activeCell="A116" sqref="A116"/>
    </sheetView>
  </sheetViews>
  <sheetFormatPr baseColWidth="10" defaultColWidth="9.140625" defaultRowHeight="13.5"/>
  <cols>
    <col min="1" max="1" width="25.7109375" style="162" customWidth="1"/>
    <col min="2" max="2" width="9.140625" style="162" customWidth="1"/>
    <col min="3" max="3" width="1.85546875" style="325" customWidth="1"/>
    <col min="4" max="4" width="10.140625" style="162" customWidth="1"/>
    <col min="5" max="5" width="9.7109375" style="162" customWidth="1"/>
    <col min="6" max="7" width="10" style="162" customWidth="1"/>
    <col min="8" max="9" width="9.7109375" style="162" customWidth="1"/>
    <col min="10" max="10" width="10" style="162" customWidth="1"/>
    <col min="11" max="11" width="12.5703125" style="162" customWidth="1"/>
    <col min="12" max="12" width="12.7109375" style="162" customWidth="1"/>
    <col min="13" max="13" width="12.5703125" style="162" customWidth="1"/>
    <col min="14" max="14" width="12" style="162" customWidth="1"/>
    <col min="15" max="15" width="12.28515625" style="162" customWidth="1"/>
    <col min="16" max="16" width="13.28515625" style="162" bestFit="1" customWidth="1"/>
    <col min="17" max="17" width="9.140625" style="162" customWidth="1"/>
    <col min="18" max="20" width="11.5703125" style="162" bestFit="1" customWidth="1"/>
    <col min="21" max="21" width="1.28515625" style="126" customWidth="1"/>
    <col min="22" max="22" width="12.7109375" style="162" customWidth="1"/>
    <col min="23" max="23" width="12.7109375" style="162" bestFit="1" customWidth="1"/>
    <col min="24" max="24" width="4.7109375" style="326" customWidth="1"/>
    <col min="25" max="25" width="14.85546875" style="162" bestFit="1" customWidth="1"/>
    <col min="26" max="26" width="12" style="162" bestFit="1" customWidth="1"/>
    <col min="27" max="27" width="4.7109375" style="326" customWidth="1"/>
    <col min="28" max="28" width="15.140625" style="162" bestFit="1" customWidth="1"/>
    <col min="29" max="29" width="12.5703125" style="162" bestFit="1" customWidth="1"/>
    <col min="30" max="30" width="4.7109375" style="327" customWidth="1"/>
    <col min="31" max="16384" width="9.140625" style="162"/>
  </cols>
  <sheetData>
    <row r="1" spans="1:30">
      <c r="A1" s="489" t="str">
        <f>+'Datos iniciales'!C4</f>
        <v>ALFA</v>
      </c>
      <c r="B1" s="489"/>
    </row>
    <row r="3" spans="1:30">
      <c r="A3" s="164" t="s">
        <v>106</v>
      </c>
      <c r="B3" s="164"/>
    </row>
    <row r="5" spans="1:30" ht="14.25" thickBot="1">
      <c r="D5" s="141">
        <f>+'1 Inversión'!E4</f>
        <v>2014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>
        <f>+Y5</f>
        <v>2015</v>
      </c>
      <c r="R5" s="150"/>
      <c r="S5" s="150"/>
      <c r="T5" s="150"/>
      <c r="U5" s="328"/>
      <c r="V5" s="329">
        <f>+D5</f>
        <v>2014</v>
      </c>
      <c r="W5" s="330" t="s">
        <v>112</v>
      </c>
      <c r="X5" s="331"/>
      <c r="Y5" s="329">
        <f>+'1 Inversión'!I4</f>
        <v>2015</v>
      </c>
      <c r="Z5" s="330" t="s">
        <v>112</v>
      </c>
      <c r="AA5" s="331"/>
      <c r="AB5" s="329">
        <f>+'1 Inversión'!M4</f>
        <v>2016</v>
      </c>
      <c r="AC5" s="330" t="s">
        <v>112</v>
      </c>
      <c r="AD5" s="332"/>
    </row>
    <row r="6" spans="1:30">
      <c r="D6" s="333" t="s">
        <v>107</v>
      </c>
      <c r="E6" s="333">
        <f>+'3 Previsión Ingresos-Gastos'!D5</f>
        <v>1</v>
      </c>
      <c r="F6" s="333">
        <f>+'3 Previsión Ingresos-Gastos'!E5</f>
        <v>2</v>
      </c>
      <c r="G6" s="333">
        <f>+'3 Previsión Ingresos-Gastos'!F5</f>
        <v>3</v>
      </c>
      <c r="H6" s="333">
        <f>+'3 Previsión Ingresos-Gastos'!G5</f>
        <v>4</v>
      </c>
      <c r="I6" s="333">
        <f>+'3 Previsión Ingresos-Gastos'!H5</f>
        <v>5</v>
      </c>
      <c r="J6" s="333">
        <f>+'3 Previsión Ingresos-Gastos'!I5</f>
        <v>6</v>
      </c>
      <c r="K6" s="333">
        <f>+'3 Previsión Ingresos-Gastos'!J5</f>
        <v>7</v>
      </c>
      <c r="L6" s="333">
        <f>+'3 Previsión Ingresos-Gastos'!K5</f>
        <v>8</v>
      </c>
      <c r="M6" s="333">
        <f>+'3 Previsión Ingresos-Gastos'!L5</f>
        <v>9</v>
      </c>
      <c r="N6" s="333">
        <f>+'3 Previsión Ingresos-Gastos'!M5</f>
        <v>10</v>
      </c>
      <c r="O6" s="333">
        <f>+'3 Previsión Ingresos-Gastos'!N5</f>
        <v>11</v>
      </c>
      <c r="P6" s="334">
        <f>+'3 Previsión Ingresos-Gastos'!O5</f>
        <v>12</v>
      </c>
      <c r="Q6" s="335">
        <v>1</v>
      </c>
      <c r="R6" s="162">
        <v>2</v>
      </c>
      <c r="S6" s="162">
        <v>3</v>
      </c>
      <c r="T6" s="162">
        <v>4</v>
      </c>
    </row>
    <row r="7" spans="1:30"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  <c r="Q7" s="338"/>
      <c r="R7" s="336"/>
      <c r="S7" s="336"/>
      <c r="T7" s="336"/>
      <c r="U7" s="339"/>
      <c r="V7" s="336"/>
      <c r="W7" s="336"/>
      <c r="X7" s="340"/>
      <c r="Y7" s="336"/>
      <c r="Z7" s="336"/>
      <c r="AA7" s="340"/>
    </row>
    <row r="8" spans="1:30">
      <c r="A8" s="341" t="s">
        <v>29</v>
      </c>
      <c r="B8" s="341"/>
      <c r="C8" s="342"/>
      <c r="D8" s="343">
        <f>+'1 Inversión'!E37</f>
        <v>25000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4"/>
      <c r="V8" s="343">
        <f>+SUM(D8:P8)</f>
        <v>25000</v>
      </c>
      <c r="W8" s="343"/>
      <c r="X8" s="345"/>
      <c r="Y8" s="343">
        <f>P116</f>
        <v>26094.17</v>
      </c>
      <c r="Z8" s="343"/>
      <c r="AA8" s="345"/>
      <c r="AB8" s="343">
        <f>(Y114)</f>
        <v>101727.72537620769</v>
      </c>
      <c r="AC8" s="343"/>
      <c r="AD8" s="346"/>
    </row>
    <row r="9" spans="1:30"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347"/>
      <c r="Q9" s="348"/>
      <c r="R9" s="163"/>
      <c r="S9" s="163"/>
      <c r="T9" s="163"/>
      <c r="U9" s="165"/>
      <c r="V9" s="349"/>
      <c r="W9" s="163"/>
      <c r="X9" s="350"/>
      <c r="Y9" s="163"/>
      <c r="Z9" s="163"/>
      <c r="AA9" s="350"/>
      <c r="AB9" s="163"/>
      <c r="AC9" s="163"/>
    </row>
    <row r="10" spans="1:30">
      <c r="A10" s="341" t="str">
        <f>+'4 Periodo Cobro-Pago'!B7</f>
        <v>Ventas (€)</v>
      </c>
      <c r="B10" s="341" t="str">
        <f>+IF(SUM(E10:T10)='3 Previsión Ingresos-Gastos'!Q9,"OK","REVISAR")</f>
        <v>OK</v>
      </c>
      <c r="C10" s="342"/>
      <c r="D10" s="343">
        <f>+SUM(D11:D15)</f>
        <v>0</v>
      </c>
      <c r="E10" s="343">
        <f>+SUM(E11:E15)</f>
        <v>29.580000000000002</v>
      </c>
      <c r="F10" s="343">
        <f t="shared" ref="F10:T10" si="0">+SUM(F11:F15)</f>
        <v>88.740000000000009</v>
      </c>
      <c r="G10" s="343">
        <f t="shared" si="0"/>
        <v>177.48000000000002</v>
      </c>
      <c r="H10" s="343">
        <f t="shared" si="0"/>
        <v>295.8</v>
      </c>
      <c r="I10" s="343">
        <f t="shared" si="0"/>
        <v>443.70000000000005</v>
      </c>
      <c r="J10" s="343">
        <f t="shared" si="0"/>
        <v>591.6</v>
      </c>
      <c r="K10" s="343">
        <f t="shared" si="0"/>
        <v>739.50000000000011</v>
      </c>
      <c r="L10" s="343">
        <f t="shared" si="0"/>
        <v>887.40000000000009</v>
      </c>
      <c r="M10" s="343">
        <f t="shared" si="0"/>
        <v>1035.3000000000002</v>
      </c>
      <c r="N10" s="343">
        <f t="shared" si="0"/>
        <v>1183.2</v>
      </c>
      <c r="O10" s="343">
        <f t="shared" si="0"/>
        <v>1331.1000000000001</v>
      </c>
      <c r="P10" s="343">
        <f t="shared" si="0"/>
        <v>1479.0000000000002</v>
      </c>
      <c r="Q10" s="343">
        <f t="shared" si="0"/>
        <v>1242.3600000000001</v>
      </c>
      <c r="R10" s="343">
        <f t="shared" si="0"/>
        <v>976.1400000000001</v>
      </c>
      <c r="S10" s="343">
        <f t="shared" si="0"/>
        <v>680.34000000000015</v>
      </c>
      <c r="T10" s="343">
        <f t="shared" si="0"/>
        <v>354.96000000000004</v>
      </c>
      <c r="U10" s="344"/>
      <c r="V10" s="343">
        <f t="shared" ref="V10:V15" si="1">+SUM(D10:P10)</f>
        <v>8282.4000000000015</v>
      </c>
      <c r="W10" s="343">
        <f>+SUM(W11:W15)</f>
        <v>3253.8</v>
      </c>
      <c r="X10" s="345"/>
      <c r="Y10" s="343">
        <f>+SUM(Y11:Y15)</f>
        <v>73407.750000000015</v>
      </c>
      <c r="Z10" s="343">
        <f>+SUM(Z11:Z15)</f>
        <v>14681.55</v>
      </c>
      <c r="AA10" s="345" t="str">
        <f>+IF(SUM(Y10:Z10)='3 Previsión Ingresos-Gastos'!S9,"OK","REVISAR")</f>
        <v>OK</v>
      </c>
      <c r="AB10" s="343">
        <f>+SUM(AB11:AB15)</f>
        <v>19396</v>
      </c>
      <c r="AC10" s="343">
        <f>+SUM(AC11:AC15)</f>
        <v>3879.2</v>
      </c>
      <c r="AD10" s="346" t="str">
        <f>+IF(SUM(AB10:AC10)='3 Previsión Ingresos-Gastos'!U9,"OK","REVISAR")</f>
        <v>OK</v>
      </c>
    </row>
    <row r="11" spans="1:30" ht="14.25" thickBot="1">
      <c r="A11" s="351" t="s">
        <v>100</v>
      </c>
      <c r="D11" s="352"/>
      <c r="E11" s="352">
        <f>+('4 Periodo Cobro-Pago'!$D$7*'3 Previsión Ingresos-Gastos'!D9)</f>
        <v>29.580000000000002</v>
      </c>
      <c r="F11" s="352">
        <f>+('4 Periodo Cobro-Pago'!$D$7*'3 Previsión Ingresos-Gastos'!E9)</f>
        <v>59.160000000000004</v>
      </c>
      <c r="G11" s="352">
        <f>+('4 Periodo Cobro-Pago'!$D$7*'3 Previsión Ingresos-Gastos'!F9)</f>
        <v>88.740000000000009</v>
      </c>
      <c r="H11" s="352">
        <f>+('4 Periodo Cobro-Pago'!$D$7*'3 Previsión Ingresos-Gastos'!G9)</f>
        <v>118.32000000000001</v>
      </c>
      <c r="I11" s="352">
        <f>+('4 Periodo Cobro-Pago'!$D$7*'3 Previsión Ingresos-Gastos'!H9)</f>
        <v>147.9</v>
      </c>
      <c r="J11" s="352">
        <f>+('4 Periodo Cobro-Pago'!$D$7*'3 Previsión Ingresos-Gastos'!I9)</f>
        <v>177.48000000000002</v>
      </c>
      <c r="K11" s="352">
        <f>+('4 Periodo Cobro-Pago'!$D$7*'3 Previsión Ingresos-Gastos'!J9)</f>
        <v>207.06</v>
      </c>
      <c r="L11" s="352">
        <f>+('4 Periodo Cobro-Pago'!$D$7*'3 Previsión Ingresos-Gastos'!K9)</f>
        <v>236.64000000000001</v>
      </c>
      <c r="M11" s="352">
        <f>+('4 Periodo Cobro-Pago'!$D$7*'3 Previsión Ingresos-Gastos'!L9)</f>
        <v>266.21999999999997</v>
      </c>
      <c r="N11" s="352">
        <f>+('4 Periodo Cobro-Pago'!$D$7*'3 Previsión Ingresos-Gastos'!M9)</f>
        <v>295.8</v>
      </c>
      <c r="O11" s="352">
        <f>+('4 Periodo Cobro-Pago'!$D$7*'3 Previsión Ingresos-Gastos'!N9)</f>
        <v>325.38000000000005</v>
      </c>
      <c r="P11" s="352">
        <f>+('4 Periodo Cobro-Pago'!$D$7*'3 Previsión Ingresos-Gastos'!O9)</f>
        <v>354.96000000000004</v>
      </c>
      <c r="Q11" s="352"/>
      <c r="R11" s="352"/>
      <c r="S11" s="352"/>
      <c r="T11" s="352"/>
      <c r="U11" s="353"/>
      <c r="V11" s="352">
        <f t="shared" si="1"/>
        <v>2307.2400000000002</v>
      </c>
      <c r="W11" s="352">
        <f>+SUM(Q11:T11)</f>
        <v>0</v>
      </c>
      <c r="X11" s="354"/>
      <c r="Y11" s="352">
        <f>+'4 Periodo Cobro-Pago'!D7*'3 Previsión Ingresos-Gastos'!S9</f>
        <v>17617.86</v>
      </c>
      <c r="Z11" s="352"/>
      <c r="AA11" s="354"/>
      <c r="AB11" s="352">
        <f>+'4 Periodo Cobro-Pago'!D7*'3 Previsión Ingresos-Gastos'!U9</f>
        <v>4655.04</v>
      </c>
      <c r="AC11" s="352"/>
    </row>
    <row r="12" spans="1:30" ht="14.25" thickBot="1">
      <c r="A12" s="351" t="s">
        <v>101</v>
      </c>
      <c r="D12" s="352"/>
      <c r="E12" s="352"/>
      <c r="F12" s="352">
        <f>+'4 Periodo Cobro-Pago'!$E$7*'3 Previsión Ingresos-Gastos'!D9</f>
        <v>29.580000000000002</v>
      </c>
      <c r="G12" s="352">
        <f>+'4 Periodo Cobro-Pago'!$E$7*'3 Previsión Ingresos-Gastos'!E9</f>
        <v>59.160000000000004</v>
      </c>
      <c r="H12" s="352">
        <f>+'4 Periodo Cobro-Pago'!$E$7*'3 Previsión Ingresos-Gastos'!F9</f>
        <v>88.740000000000009</v>
      </c>
      <c r="I12" s="352">
        <f>+'4 Periodo Cobro-Pago'!$E$7*'3 Previsión Ingresos-Gastos'!G9</f>
        <v>118.32000000000001</v>
      </c>
      <c r="J12" s="352">
        <f>+'4 Periodo Cobro-Pago'!$E$7*'3 Previsión Ingresos-Gastos'!H9</f>
        <v>147.9</v>
      </c>
      <c r="K12" s="352">
        <f>+'4 Periodo Cobro-Pago'!$E$7*'3 Previsión Ingresos-Gastos'!I9</f>
        <v>177.48000000000002</v>
      </c>
      <c r="L12" s="352">
        <f>+'4 Periodo Cobro-Pago'!$E$7*'3 Previsión Ingresos-Gastos'!J9</f>
        <v>207.06</v>
      </c>
      <c r="M12" s="352">
        <f>+'4 Periodo Cobro-Pago'!$E$7*'3 Previsión Ingresos-Gastos'!K9</f>
        <v>236.64000000000001</v>
      </c>
      <c r="N12" s="352">
        <f>+'4 Periodo Cobro-Pago'!$E$7*'3 Previsión Ingresos-Gastos'!L9</f>
        <v>266.21999999999997</v>
      </c>
      <c r="O12" s="352">
        <f>+'4 Periodo Cobro-Pago'!$E$7*'3 Previsión Ingresos-Gastos'!M9</f>
        <v>295.8</v>
      </c>
      <c r="P12" s="352">
        <f>+'4 Periodo Cobro-Pago'!$E$7*'3 Previsión Ingresos-Gastos'!N9</f>
        <v>325.38000000000005</v>
      </c>
      <c r="Q12" s="352">
        <f>+'4 Periodo Cobro-Pago'!$E$7*'3 Previsión Ingresos-Gastos'!O9</f>
        <v>354.96000000000004</v>
      </c>
      <c r="R12" s="352"/>
      <c r="S12" s="352"/>
      <c r="T12" s="352"/>
      <c r="U12" s="353"/>
      <c r="V12" s="352">
        <f t="shared" si="1"/>
        <v>1952.2800000000002</v>
      </c>
      <c r="W12" s="352">
        <f>+SUM(Q12:T12)</f>
        <v>354.96000000000004</v>
      </c>
      <c r="X12" s="354"/>
      <c r="Y12" s="352">
        <f>+(('4 Periodo Cobro-Pago'!E7*'3 Previsión Ingresos-Gastos'!S9)/12)*11</f>
        <v>16149.705</v>
      </c>
      <c r="Z12" s="352">
        <f>+(Y12/11)</f>
        <v>1468.155</v>
      </c>
      <c r="AA12" s="354"/>
      <c r="AB12" s="352">
        <f>((('4 Periodo Cobro-Pago'!E7*'3 Previsión Ingresos-Gastos'!U9))/12)*11</f>
        <v>4267.12</v>
      </c>
      <c r="AC12" s="352">
        <f>+(AB12/11)</f>
        <v>387.92</v>
      </c>
    </row>
    <row r="13" spans="1:30" ht="14.25" thickBot="1">
      <c r="A13" s="351" t="s">
        <v>102</v>
      </c>
      <c r="D13" s="352"/>
      <c r="E13" s="352"/>
      <c r="F13" s="352"/>
      <c r="G13" s="352">
        <f>+'4 Periodo Cobro-Pago'!$F$7*'3 Previsión Ingresos-Gastos'!D9</f>
        <v>29.580000000000002</v>
      </c>
      <c r="H13" s="352">
        <f>+'4 Periodo Cobro-Pago'!$F$7*'3 Previsión Ingresos-Gastos'!E9</f>
        <v>59.160000000000004</v>
      </c>
      <c r="I13" s="352">
        <f>+'4 Periodo Cobro-Pago'!$F$7*'3 Previsión Ingresos-Gastos'!F9</f>
        <v>88.740000000000009</v>
      </c>
      <c r="J13" s="352">
        <f>+'4 Periodo Cobro-Pago'!$F$7*'3 Previsión Ingresos-Gastos'!G9</f>
        <v>118.32000000000001</v>
      </c>
      <c r="K13" s="352">
        <f>+'4 Periodo Cobro-Pago'!$F$7*'3 Previsión Ingresos-Gastos'!H9</f>
        <v>147.9</v>
      </c>
      <c r="L13" s="352">
        <f>+'4 Periodo Cobro-Pago'!$F$7*'3 Previsión Ingresos-Gastos'!I9</f>
        <v>177.48000000000002</v>
      </c>
      <c r="M13" s="352">
        <f>+'4 Periodo Cobro-Pago'!$F$7*'3 Previsión Ingresos-Gastos'!J9</f>
        <v>207.06</v>
      </c>
      <c r="N13" s="352">
        <f>+'4 Periodo Cobro-Pago'!$F$7*'3 Previsión Ingresos-Gastos'!K9</f>
        <v>236.64000000000001</v>
      </c>
      <c r="O13" s="352">
        <f>+'4 Periodo Cobro-Pago'!$F$7*'3 Previsión Ingresos-Gastos'!L9</f>
        <v>266.21999999999997</v>
      </c>
      <c r="P13" s="352">
        <f>+'4 Periodo Cobro-Pago'!$F$7*'3 Previsión Ingresos-Gastos'!M9</f>
        <v>295.8</v>
      </c>
      <c r="Q13" s="352">
        <f>+'4 Periodo Cobro-Pago'!$F$7*'3 Previsión Ingresos-Gastos'!N9</f>
        <v>325.38000000000005</v>
      </c>
      <c r="R13" s="352">
        <f>+'4 Periodo Cobro-Pago'!$F$7*'3 Previsión Ingresos-Gastos'!O9</f>
        <v>354.96000000000004</v>
      </c>
      <c r="S13" s="352"/>
      <c r="T13" s="352"/>
      <c r="U13" s="353"/>
      <c r="V13" s="352">
        <f t="shared" si="1"/>
        <v>1626.9</v>
      </c>
      <c r="W13" s="352">
        <f>+SUM(Q13:T13)</f>
        <v>680.34000000000015</v>
      </c>
      <c r="X13" s="354"/>
      <c r="Y13" s="352">
        <f>+(('4 Periodo Cobro-Pago'!F7*'3 Previsión Ingresos-Gastos'!S9)/12)*10</f>
        <v>14681.55</v>
      </c>
      <c r="Z13" s="352">
        <f>+(Y13/10)*2</f>
        <v>2936.31</v>
      </c>
      <c r="AA13" s="354"/>
      <c r="AB13" s="352">
        <f>+((('4 Periodo Cobro-Pago'!F7*'3 Previsión Ingresos-Gastos'!U9))/12)*10</f>
        <v>3879.2000000000003</v>
      </c>
      <c r="AC13" s="352">
        <f>+(AB13/10)*2</f>
        <v>775.84</v>
      </c>
    </row>
    <row r="14" spans="1:30" ht="14.25" thickBot="1">
      <c r="A14" s="351" t="s">
        <v>103</v>
      </c>
      <c r="D14" s="352"/>
      <c r="E14" s="352"/>
      <c r="F14" s="352"/>
      <c r="G14" s="352"/>
      <c r="H14" s="352">
        <f>+'4 Periodo Cobro-Pago'!$G$7*'3 Previsión Ingresos-Gastos'!D9</f>
        <v>29.580000000000002</v>
      </c>
      <c r="I14" s="352">
        <f>+'4 Periodo Cobro-Pago'!$G$7*'3 Previsión Ingresos-Gastos'!E9</f>
        <v>59.160000000000004</v>
      </c>
      <c r="J14" s="352">
        <f>+'4 Periodo Cobro-Pago'!$G$7*'3 Previsión Ingresos-Gastos'!F9</f>
        <v>88.740000000000009</v>
      </c>
      <c r="K14" s="352">
        <f>+'4 Periodo Cobro-Pago'!$G$7*'3 Previsión Ingresos-Gastos'!G9</f>
        <v>118.32000000000001</v>
      </c>
      <c r="L14" s="352">
        <f>+'4 Periodo Cobro-Pago'!$G$7*'3 Previsión Ingresos-Gastos'!H9</f>
        <v>147.9</v>
      </c>
      <c r="M14" s="352">
        <f>+'4 Periodo Cobro-Pago'!$G$7*'3 Previsión Ingresos-Gastos'!I9</f>
        <v>177.48000000000002</v>
      </c>
      <c r="N14" s="352">
        <f>+'4 Periodo Cobro-Pago'!$G$7*'3 Previsión Ingresos-Gastos'!J9</f>
        <v>207.06</v>
      </c>
      <c r="O14" s="352">
        <f>+'4 Periodo Cobro-Pago'!$G$7*'3 Previsión Ingresos-Gastos'!K9</f>
        <v>236.64000000000001</v>
      </c>
      <c r="P14" s="352">
        <f>+'4 Periodo Cobro-Pago'!$G$7*'3 Previsión Ingresos-Gastos'!L9</f>
        <v>266.21999999999997</v>
      </c>
      <c r="Q14" s="352">
        <f>+'4 Periodo Cobro-Pago'!$G$7*'3 Previsión Ingresos-Gastos'!M9</f>
        <v>295.8</v>
      </c>
      <c r="R14" s="352">
        <f>+'4 Periodo Cobro-Pago'!$G$7*'3 Previsión Ingresos-Gastos'!N9</f>
        <v>325.38000000000005</v>
      </c>
      <c r="S14" s="352">
        <f>+'4 Periodo Cobro-Pago'!$G$7*'3 Previsión Ingresos-Gastos'!O9</f>
        <v>354.96000000000004</v>
      </c>
      <c r="T14" s="352"/>
      <c r="U14" s="353"/>
      <c r="V14" s="352">
        <f t="shared" si="1"/>
        <v>1331.1000000000001</v>
      </c>
      <c r="W14" s="352">
        <f>+SUM(Q14:T14)</f>
        <v>976.1400000000001</v>
      </c>
      <c r="X14" s="354"/>
      <c r="Y14" s="352">
        <f>+(('4 Periodo Cobro-Pago'!G7*'3 Previsión Ingresos-Gastos'!S9)/12)*9</f>
        <v>13213.395</v>
      </c>
      <c r="Z14" s="352">
        <f>+(Y14/9)*3</f>
        <v>4404.4650000000001</v>
      </c>
      <c r="AA14" s="354"/>
      <c r="AB14" s="352">
        <f>((('4 Periodo Cobro-Pago'!G7*'3 Previsión Ingresos-Gastos'!U9))/12)*9</f>
        <v>3491.28</v>
      </c>
      <c r="AC14" s="352">
        <f>+(AB14/9)*3</f>
        <v>1163.76</v>
      </c>
    </row>
    <row r="15" spans="1:30" ht="14.25" thickBot="1">
      <c r="A15" s="351" t="s">
        <v>104</v>
      </c>
      <c r="D15" s="352"/>
      <c r="E15" s="352"/>
      <c r="F15" s="352"/>
      <c r="G15" s="352"/>
      <c r="H15" s="352"/>
      <c r="I15" s="352">
        <f>+'4 Periodo Cobro-Pago'!$H$7*'3 Previsión Ingresos-Gastos'!D9</f>
        <v>29.580000000000002</v>
      </c>
      <c r="J15" s="352">
        <f>+'4 Periodo Cobro-Pago'!$H$7*'3 Previsión Ingresos-Gastos'!E9</f>
        <v>59.160000000000004</v>
      </c>
      <c r="K15" s="352">
        <f>+'4 Periodo Cobro-Pago'!$H$7*'3 Previsión Ingresos-Gastos'!F9</f>
        <v>88.740000000000009</v>
      </c>
      <c r="L15" s="352">
        <f>+'4 Periodo Cobro-Pago'!$H$7*'3 Previsión Ingresos-Gastos'!G9</f>
        <v>118.32000000000001</v>
      </c>
      <c r="M15" s="352">
        <f>+'4 Periodo Cobro-Pago'!$H$7*'3 Previsión Ingresos-Gastos'!H9</f>
        <v>147.9</v>
      </c>
      <c r="N15" s="352">
        <f>+'4 Periodo Cobro-Pago'!$H$7*'3 Previsión Ingresos-Gastos'!I9</f>
        <v>177.48000000000002</v>
      </c>
      <c r="O15" s="352">
        <f>+'4 Periodo Cobro-Pago'!$H$7*'3 Previsión Ingresos-Gastos'!J9</f>
        <v>207.06</v>
      </c>
      <c r="P15" s="352">
        <f>+'4 Periodo Cobro-Pago'!$H$7*'3 Previsión Ingresos-Gastos'!K9</f>
        <v>236.64000000000001</v>
      </c>
      <c r="Q15" s="352">
        <f>+'4 Periodo Cobro-Pago'!$H$7*'3 Previsión Ingresos-Gastos'!L9</f>
        <v>266.21999999999997</v>
      </c>
      <c r="R15" s="352">
        <f>+'4 Periodo Cobro-Pago'!$H$7*'3 Previsión Ingresos-Gastos'!M9</f>
        <v>295.8</v>
      </c>
      <c r="S15" s="352">
        <f>+'4 Periodo Cobro-Pago'!$H$7*'3 Previsión Ingresos-Gastos'!N9</f>
        <v>325.38000000000005</v>
      </c>
      <c r="T15" s="352">
        <f>+'4 Periodo Cobro-Pago'!$H$7*'3 Previsión Ingresos-Gastos'!O9</f>
        <v>354.96000000000004</v>
      </c>
      <c r="U15" s="353"/>
      <c r="V15" s="352">
        <f t="shared" si="1"/>
        <v>1064.8800000000001</v>
      </c>
      <c r="W15" s="352">
        <f>+SUM(Q15:T15)</f>
        <v>1242.3600000000001</v>
      </c>
      <c r="X15" s="354"/>
      <c r="Y15" s="352">
        <f>+(('4 Periodo Cobro-Pago'!H7*'3 Previsión Ingresos-Gastos'!S9)/12)*8</f>
        <v>11745.24</v>
      </c>
      <c r="Z15" s="352">
        <f>+(Y15/8)*4</f>
        <v>5872.62</v>
      </c>
      <c r="AA15" s="354"/>
      <c r="AB15" s="352">
        <f>((('4 Periodo Cobro-Pago'!H7*'3 Previsión Ingresos-Gastos'!U9))/12)*8</f>
        <v>3103.36</v>
      </c>
      <c r="AC15" s="352">
        <f>+(AB15/8)*4</f>
        <v>1551.68</v>
      </c>
    </row>
    <row r="16" spans="1:30"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347"/>
      <c r="Q16" s="348"/>
      <c r="R16" s="163"/>
      <c r="S16" s="163"/>
      <c r="T16" s="163"/>
      <c r="U16" s="165"/>
      <c r="V16" s="349"/>
      <c r="W16" s="163"/>
      <c r="X16" s="355"/>
      <c r="Y16" s="348"/>
      <c r="Z16" s="163"/>
      <c r="AA16" s="355"/>
      <c r="AB16" s="348"/>
      <c r="AC16" s="163"/>
    </row>
    <row r="17" spans="1:30">
      <c r="A17" s="341" t="str">
        <f>+'4 Periodo Cobro-Pago'!B8</f>
        <v>Otros ingresos (€)</v>
      </c>
      <c r="B17" s="341" t="str">
        <f>+IF(SUM(E17:T17)='3 Previsión Ingresos-Gastos'!Q22*(1+'Datos iniciales'!$C13),"OK","REVISAR")</f>
        <v>OK</v>
      </c>
      <c r="C17" s="342"/>
      <c r="D17" s="343">
        <f>+SUM(D18:D22)</f>
        <v>0</v>
      </c>
      <c r="E17" s="343">
        <f t="shared" ref="E17:T17" si="2">+SUM(E18:E22)</f>
        <v>2.42</v>
      </c>
      <c r="F17" s="343">
        <f t="shared" si="2"/>
        <v>4.84</v>
      </c>
      <c r="G17" s="343">
        <f t="shared" si="2"/>
        <v>7.26</v>
      </c>
      <c r="H17" s="343">
        <f t="shared" si="2"/>
        <v>9.68</v>
      </c>
      <c r="I17" s="343">
        <f t="shared" si="2"/>
        <v>12.1</v>
      </c>
      <c r="J17" s="343">
        <f t="shared" si="2"/>
        <v>12.1</v>
      </c>
      <c r="K17" s="343">
        <f t="shared" si="2"/>
        <v>12.1</v>
      </c>
      <c r="L17" s="343">
        <f t="shared" si="2"/>
        <v>12.1</v>
      </c>
      <c r="M17" s="343">
        <f t="shared" si="2"/>
        <v>12.1</v>
      </c>
      <c r="N17" s="343">
        <f t="shared" si="2"/>
        <v>12.1</v>
      </c>
      <c r="O17" s="343">
        <f t="shared" si="2"/>
        <v>12.1</v>
      </c>
      <c r="P17" s="343">
        <f t="shared" si="2"/>
        <v>12.1</v>
      </c>
      <c r="Q17" s="343">
        <f t="shared" si="2"/>
        <v>9.68</v>
      </c>
      <c r="R17" s="343">
        <f t="shared" si="2"/>
        <v>7.26</v>
      </c>
      <c r="S17" s="343">
        <f t="shared" si="2"/>
        <v>4.84</v>
      </c>
      <c r="T17" s="343">
        <f t="shared" si="2"/>
        <v>2.42</v>
      </c>
      <c r="U17" s="344"/>
      <c r="V17" s="343">
        <f t="shared" ref="V17:V22" si="3">+SUM(D17:P17)</f>
        <v>120.99999999999997</v>
      </c>
      <c r="W17" s="343">
        <f>+SUM(W18:W22)</f>
        <v>24.2</v>
      </c>
      <c r="X17" s="345"/>
      <c r="Y17" s="343">
        <f>+SUM(Y18:Y22)</f>
        <v>151.24999999999997</v>
      </c>
      <c r="Z17" s="343">
        <f>+SUM(Z18:Z22)</f>
        <v>30.25</v>
      </c>
      <c r="AA17" s="345" t="str">
        <f>+IF(SUM(Y17:Z17)='3 Previsión Ingresos-Gastos'!S22*(1+'Datos iniciales'!$C$13),"OK","REVISAR")</f>
        <v>OK</v>
      </c>
      <c r="AB17" s="343">
        <f>(SUM(AB18:AB22))</f>
        <v>226.875</v>
      </c>
      <c r="AC17" s="343">
        <f>(SUM(AC18:AC22))</f>
        <v>45.375</v>
      </c>
      <c r="AD17" s="346" t="str">
        <f>+IF(SUM(AB17:AC17)='3 Previsión Ingresos-Gastos'!U22*(1+'Datos iniciales'!$C$13),"OK","REVISAR")</f>
        <v>OK</v>
      </c>
    </row>
    <row r="18" spans="1:30" ht="14.25" thickBot="1">
      <c r="A18" s="351" t="s">
        <v>100</v>
      </c>
      <c r="D18" s="352"/>
      <c r="E18" s="352">
        <f>('4 Periodo Cobro-Pago'!$D$8*'3 Previsión Ingresos-Gastos'!D22)*(1+'Datos iniciales'!$C13)</f>
        <v>2.42</v>
      </c>
      <c r="F18" s="352">
        <f>('4 Periodo Cobro-Pago'!$D$8*'3 Previsión Ingresos-Gastos'!E22)*(1+'Datos iniciales'!$C13)</f>
        <v>2.42</v>
      </c>
      <c r="G18" s="352">
        <f>('4 Periodo Cobro-Pago'!$D$8*'3 Previsión Ingresos-Gastos'!F22)*(1+'Datos iniciales'!$C13)</f>
        <v>2.42</v>
      </c>
      <c r="H18" s="352">
        <f>('4 Periodo Cobro-Pago'!$D$8*'3 Previsión Ingresos-Gastos'!G22)*(1+'Datos iniciales'!$C13)</f>
        <v>2.42</v>
      </c>
      <c r="I18" s="352">
        <f>('4 Periodo Cobro-Pago'!$D$8*'3 Previsión Ingresos-Gastos'!H22)*(1+'Datos iniciales'!$C13)</f>
        <v>2.42</v>
      </c>
      <c r="J18" s="352">
        <f>('4 Periodo Cobro-Pago'!$D$8*'3 Previsión Ingresos-Gastos'!I22)*(1+'Datos iniciales'!$C13)</f>
        <v>2.42</v>
      </c>
      <c r="K18" s="352">
        <f>('4 Periodo Cobro-Pago'!$D$8*'3 Previsión Ingresos-Gastos'!J22)*(1+'Datos iniciales'!$C13)</f>
        <v>2.42</v>
      </c>
      <c r="L18" s="352">
        <f>('4 Periodo Cobro-Pago'!$D$8*'3 Previsión Ingresos-Gastos'!K22)*(1+'Datos iniciales'!$C13)</f>
        <v>2.42</v>
      </c>
      <c r="M18" s="352">
        <f>('4 Periodo Cobro-Pago'!$D$8*'3 Previsión Ingresos-Gastos'!L22)*(1+'Datos iniciales'!$C13)</f>
        <v>2.42</v>
      </c>
      <c r="N18" s="352">
        <f>('4 Periodo Cobro-Pago'!$D$8*'3 Previsión Ingresos-Gastos'!M22)*(1+'Datos iniciales'!$C13)</f>
        <v>2.42</v>
      </c>
      <c r="O18" s="352">
        <f>('4 Periodo Cobro-Pago'!$D$8*'3 Previsión Ingresos-Gastos'!N22)*(1+'Datos iniciales'!$C13)</f>
        <v>2.42</v>
      </c>
      <c r="P18" s="352">
        <f>('4 Periodo Cobro-Pago'!$D$8*'3 Previsión Ingresos-Gastos'!O22)*(1+'Datos iniciales'!$C13)</f>
        <v>2.42</v>
      </c>
      <c r="Q18" s="352"/>
      <c r="R18" s="352"/>
      <c r="S18" s="352"/>
      <c r="T18" s="352"/>
      <c r="U18" s="353"/>
      <c r="V18" s="352">
        <f t="shared" si="3"/>
        <v>29.040000000000006</v>
      </c>
      <c r="W18" s="352">
        <f>+SUM(Q18:T18)</f>
        <v>0</v>
      </c>
      <c r="X18" s="354"/>
      <c r="Y18" s="352">
        <f>('4 Periodo Cobro-Pago'!D8*'3 Previsión Ingresos-Gastos'!S22)*(1+'Datos iniciales'!$C$13)</f>
        <v>36.299999999999997</v>
      </c>
      <c r="Z18" s="352"/>
      <c r="AA18" s="354"/>
      <c r="AB18" s="352">
        <f>('4 Periodo Cobro-Pago'!D8*'3 Previsión Ingresos-Gastos'!U22)*(1+'Datos iniciales'!$C$13)</f>
        <v>54.449999999999996</v>
      </c>
      <c r="AC18" s="352"/>
    </row>
    <row r="19" spans="1:30" ht="14.25" thickBot="1">
      <c r="A19" s="351" t="s">
        <v>101</v>
      </c>
      <c r="D19" s="352"/>
      <c r="E19" s="352"/>
      <c r="F19" s="352">
        <f>('4 Periodo Cobro-Pago'!$E$8*'3 Previsión Ingresos-Gastos'!D22)*(1+'Datos iniciales'!$C13)</f>
        <v>2.42</v>
      </c>
      <c r="G19" s="352">
        <f>('4 Periodo Cobro-Pago'!$E$8*'3 Previsión Ingresos-Gastos'!E22)*(1+'Datos iniciales'!$C13)</f>
        <v>2.42</v>
      </c>
      <c r="H19" s="352">
        <f>('4 Periodo Cobro-Pago'!$E$8*'3 Previsión Ingresos-Gastos'!F22)*(1+'Datos iniciales'!$C13)</f>
        <v>2.42</v>
      </c>
      <c r="I19" s="352">
        <f>('4 Periodo Cobro-Pago'!$E$8*'3 Previsión Ingresos-Gastos'!G22)*(1+'Datos iniciales'!$C13)</f>
        <v>2.42</v>
      </c>
      <c r="J19" s="352">
        <f>('4 Periodo Cobro-Pago'!$E$8*'3 Previsión Ingresos-Gastos'!H22)*(1+'Datos iniciales'!$C13)</f>
        <v>2.42</v>
      </c>
      <c r="K19" s="352">
        <f>('4 Periodo Cobro-Pago'!$E$8*'3 Previsión Ingresos-Gastos'!I22)*(1+'Datos iniciales'!$C13)</f>
        <v>2.42</v>
      </c>
      <c r="L19" s="352">
        <f>('4 Periodo Cobro-Pago'!$E$8*'3 Previsión Ingresos-Gastos'!J22)*(1+'Datos iniciales'!$C13)</f>
        <v>2.42</v>
      </c>
      <c r="M19" s="352">
        <f>('4 Periodo Cobro-Pago'!$E$8*'3 Previsión Ingresos-Gastos'!K22)*(1+'Datos iniciales'!$C13)</f>
        <v>2.42</v>
      </c>
      <c r="N19" s="352">
        <f>('4 Periodo Cobro-Pago'!$E$8*'3 Previsión Ingresos-Gastos'!L22)*(1+'Datos iniciales'!$C13)</f>
        <v>2.42</v>
      </c>
      <c r="O19" s="352">
        <f>('4 Periodo Cobro-Pago'!$E$8*'3 Previsión Ingresos-Gastos'!M22)*(1+'Datos iniciales'!$C13)</f>
        <v>2.42</v>
      </c>
      <c r="P19" s="352">
        <f>('4 Periodo Cobro-Pago'!$E$8*'3 Previsión Ingresos-Gastos'!N22)*(1+'Datos iniciales'!$C13)</f>
        <v>2.42</v>
      </c>
      <c r="Q19" s="352">
        <f>('4 Periodo Cobro-Pago'!$E$8*'3 Previsión Ingresos-Gastos'!O22)*(1+'Datos iniciales'!$C13)</f>
        <v>2.42</v>
      </c>
      <c r="R19" s="352"/>
      <c r="S19" s="352"/>
      <c r="T19" s="352"/>
      <c r="U19" s="353"/>
      <c r="V19" s="352">
        <f t="shared" si="3"/>
        <v>26.620000000000005</v>
      </c>
      <c r="W19" s="352">
        <f>+SUM(Q19:T19)</f>
        <v>2.42</v>
      </c>
      <c r="X19" s="354"/>
      <c r="Y19" s="352">
        <f>+((('4 Periodo Cobro-Pago'!E8*'3 Previsión Ingresos-Gastos'!S22)*(1+'Datos iniciales'!$C$13))/12)*11</f>
        <v>33.274999999999999</v>
      </c>
      <c r="Z19" s="352">
        <f>+(Y19/11)</f>
        <v>3.0249999999999999</v>
      </c>
      <c r="AA19" s="354"/>
      <c r="AB19" s="352">
        <f>+((('4 Periodo Cobro-Pago'!E8*'3 Previsión Ingresos-Gastos'!U22)*(1+'Datos iniciales'!$C$13))/12)*11</f>
        <v>49.912499999999994</v>
      </c>
      <c r="AC19" s="352">
        <f>+(AB19/11)</f>
        <v>4.5374999999999996</v>
      </c>
    </row>
    <row r="20" spans="1:30" ht="14.25" thickBot="1">
      <c r="A20" s="351" t="s">
        <v>102</v>
      </c>
      <c r="D20" s="352"/>
      <c r="E20" s="352"/>
      <c r="F20" s="352"/>
      <c r="G20" s="352">
        <f>('4 Periodo Cobro-Pago'!$F$8*'3 Previsión Ingresos-Gastos'!D22)*(1+'Datos iniciales'!$C13)</f>
        <v>2.42</v>
      </c>
      <c r="H20" s="352">
        <f>('4 Periodo Cobro-Pago'!$F$8*'3 Previsión Ingresos-Gastos'!E22)*(1+'Datos iniciales'!$C13)</f>
        <v>2.42</v>
      </c>
      <c r="I20" s="352">
        <f>('4 Periodo Cobro-Pago'!$F$8*'3 Previsión Ingresos-Gastos'!F22)*(1+'Datos iniciales'!$C13)</f>
        <v>2.42</v>
      </c>
      <c r="J20" s="352">
        <f>('4 Periodo Cobro-Pago'!$F$8*'3 Previsión Ingresos-Gastos'!G22)*(1+'Datos iniciales'!$C13)</f>
        <v>2.42</v>
      </c>
      <c r="K20" s="352">
        <f>('4 Periodo Cobro-Pago'!$F$8*'3 Previsión Ingresos-Gastos'!H22)*(1+'Datos iniciales'!$C13)</f>
        <v>2.42</v>
      </c>
      <c r="L20" s="352">
        <f>('4 Periodo Cobro-Pago'!$F$8*'3 Previsión Ingresos-Gastos'!I22)*(1+'Datos iniciales'!$C13)</f>
        <v>2.42</v>
      </c>
      <c r="M20" s="352">
        <f>('4 Periodo Cobro-Pago'!$F$8*'3 Previsión Ingresos-Gastos'!J22)*(1+'Datos iniciales'!$C13)</f>
        <v>2.42</v>
      </c>
      <c r="N20" s="352">
        <f>('4 Periodo Cobro-Pago'!$F$8*'3 Previsión Ingresos-Gastos'!K22)*(1+'Datos iniciales'!$C13)</f>
        <v>2.42</v>
      </c>
      <c r="O20" s="352">
        <f>('4 Periodo Cobro-Pago'!$F$8*'3 Previsión Ingresos-Gastos'!L22)*(1+'Datos iniciales'!$C13)</f>
        <v>2.42</v>
      </c>
      <c r="P20" s="352">
        <f>('4 Periodo Cobro-Pago'!$F$8*'3 Previsión Ingresos-Gastos'!M22)*(1+'Datos iniciales'!$C13)</f>
        <v>2.42</v>
      </c>
      <c r="Q20" s="352">
        <f>('4 Periodo Cobro-Pago'!$F$8*'3 Previsión Ingresos-Gastos'!N22)*(1+'Datos iniciales'!$C13)</f>
        <v>2.42</v>
      </c>
      <c r="R20" s="352">
        <f>('4 Periodo Cobro-Pago'!$F$8*'3 Previsión Ingresos-Gastos'!O22)*(1+'Datos iniciales'!$C13)</f>
        <v>2.42</v>
      </c>
      <c r="S20" s="352"/>
      <c r="T20" s="352"/>
      <c r="U20" s="353"/>
      <c r="V20" s="352">
        <f t="shared" si="3"/>
        <v>24.200000000000003</v>
      </c>
      <c r="W20" s="352">
        <f>+SUM(Q20:T20)</f>
        <v>4.84</v>
      </c>
      <c r="X20" s="354"/>
      <c r="Y20" s="352">
        <f>((('4 Periodo Cobro-Pago'!F8*'3 Previsión Ingresos-Gastos'!S22)*(1+'Datos iniciales'!$C$13))/12)*10</f>
        <v>30.25</v>
      </c>
      <c r="Z20" s="352">
        <f>+(Y20/10)*2</f>
        <v>6.05</v>
      </c>
      <c r="AA20" s="354"/>
      <c r="AB20" s="352">
        <f>((('4 Periodo Cobro-Pago'!F8*'3 Previsión Ingresos-Gastos'!U22)*(1+'Datos iniciales'!$C$13))/12)*10</f>
        <v>45.375</v>
      </c>
      <c r="AC20" s="352">
        <f>+(AB20/10)*2</f>
        <v>9.0749999999999993</v>
      </c>
    </row>
    <row r="21" spans="1:30" ht="14.25" thickBot="1">
      <c r="A21" s="351" t="s">
        <v>103</v>
      </c>
      <c r="D21" s="352"/>
      <c r="E21" s="352"/>
      <c r="F21" s="352"/>
      <c r="G21" s="352"/>
      <c r="H21" s="352">
        <f>('4 Periodo Cobro-Pago'!$G$8*'3 Previsión Ingresos-Gastos'!D22)*(1+'Datos iniciales'!$C13)</f>
        <v>2.42</v>
      </c>
      <c r="I21" s="352">
        <f>('4 Periodo Cobro-Pago'!$G$8*'3 Previsión Ingresos-Gastos'!E22)*(1+'Datos iniciales'!$C13)</f>
        <v>2.42</v>
      </c>
      <c r="J21" s="352">
        <f>('4 Periodo Cobro-Pago'!$G$8*'3 Previsión Ingresos-Gastos'!F22)*(1+'Datos iniciales'!$C13)</f>
        <v>2.42</v>
      </c>
      <c r="K21" s="352">
        <f>('4 Periodo Cobro-Pago'!$G$8*'3 Previsión Ingresos-Gastos'!G22)*(1+'Datos iniciales'!$C13)</f>
        <v>2.42</v>
      </c>
      <c r="L21" s="352">
        <f>('4 Periodo Cobro-Pago'!$G$8*'3 Previsión Ingresos-Gastos'!H22)*(1+'Datos iniciales'!$C13)</f>
        <v>2.42</v>
      </c>
      <c r="M21" s="352">
        <f>('4 Periodo Cobro-Pago'!$G$8*'3 Previsión Ingresos-Gastos'!I22)*(1+'Datos iniciales'!$C13)</f>
        <v>2.42</v>
      </c>
      <c r="N21" s="352">
        <f>('4 Periodo Cobro-Pago'!$G$8*'3 Previsión Ingresos-Gastos'!J22)*(1+'Datos iniciales'!$C13)</f>
        <v>2.42</v>
      </c>
      <c r="O21" s="352">
        <f>('4 Periodo Cobro-Pago'!$G$8*'3 Previsión Ingresos-Gastos'!K22)*(1+'Datos iniciales'!$C13)</f>
        <v>2.42</v>
      </c>
      <c r="P21" s="352">
        <f>('4 Periodo Cobro-Pago'!$G$8*'3 Previsión Ingresos-Gastos'!L22)*(1+'Datos iniciales'!$C13)</f>
        <v>2.42</v>
      </c>
      <c r="Q21" s="352">
        <f>('4 Periodo Cobro-Pago'!$G$8*'3 Previsión Ingresos-Gastos'!M22)*(1+'Datos iniciales'!$C13)</f>
        <v>2.42</v>
      </c>
      <c r="R21" s="352">
        <f>('4 Periodo Cobro-Pago'!$G$8*'3 Previsión Ingresos-Gastos'!N22)*(1+'Datos iniciales'!$C13)</f>
        <v>2.42</v>
      </c>
      <c r="S21" s="352">
        <f>('4 Periodo Cobro-Pago'!$G$8*'3 Previsión Ingresos-Gastos'!O22)*(1+'Datos iniciales'!$C13)</f>
        <v>2.42</v>
      </c>
      <c r="T21" s="352"/>
      <c r="U21" s="353"/>
      <c r="V21" s="352">
        <f t="shared" si="3"/>
        <v>21.78</v>
      </c>
      <c r="W21" s="352">
        <f>+SUM(Q21:T21)</f>
        <v>7.26</v>
      </c>
      <c r="X21" s="354"/>
      <c r="Y21" s="352">
        <f>+((('4 Periodo Cobro-Pago'!G8*'3 Previsión Ingresos-Gastos'!S22)*(1+'Datos iniciales'!$C$13))/12)*9</f>
        <v>27.224999999999998</v>
      </c>
      <c r="Z21" s="352">
        <f>+(Y21/9)*3</f>
        <v>9.0749999999999993</v>
      </c>
      <c r="AA21" s="354"/>
      <c r="AB21" s="352">
        <f>((('4 Periodo Cobro-Pago'!G8*'3 Previsión Ingresos-Gastos'!U22)*(1+'Datos iniciales'!$C$13))/12)*9</f>
        <v>40.837499999999999</v>
      </c>
      <c r="AC21" s="352">
        <f>+(AB21/9)*3</f>
        <v>13.612499999999999</v>
      </c>
    </row>
    <row r="22" spans="1:30" ht="14.25" thickBot="1">
      <c r="A22" s="351" t="s">
        <v>104</v>
      </c>
      <c r="D22" s="352"/>
      <c r="E22" s="352"/>
      <c r="F22" s="352"/>
      <c r="G22" s="352"/>
      <c r="H22" s="352"/>
      <c r="I22" s="352">
        <f>('4 Periodo Cobro-Pago'!$H$8*'3 Previsión Ingresos-Gastos'!D22)*(1+'Datos iniciales'!$C13)</f>
        <v>2.42</v>
      </c>
      <c r="J22" s="352">
        <f>('4 Periodo Cobro-Pago'!$H$8*'3 Previsión Ingresos-Gastos'!E22)*(1+'Datos iniciales'!$C13)</f>
        <v>2.42</v>
      </c>
      <c r="K22" s="352">
        <f>('4 Periodo Cobro-Pago'!$H$8*'3 Previsión Ingresos-Gastos'!F22)*(1+'Datos iniciales'!$C13)</f>
        <v>2.42</v>
      </c>
      <c r="L22" s="352">
        <f>('4 Periodo Cobro-Pago'!$H$8*'3 Previsión Ingresos-Gastos'!G22)*(1+'Datos iniciales'!$C13)</f>
        <v>2.42</v>
      </c>
      <c r="M22" s="352">
        <f>('4 Periodo Cobro-Pago'!$H$8*'3 Previsión Ingresos-Gastos'!H22)*(1+'Datos iniciales'!$C13)</f>
        <v>2.42</v>
      </c>
      <c r="N22" s="352">
        <f>('4 Periodo Cobro-Pago'!$H$8*'3 Previsión Ingresos-Gastos'!I22)*(1+'Datos iniciales'!$C13)</f>
        <v>2.42</v>
      </c>
      <c r="O22" s="352">
        <f>('4 Periodo Cobro-Pago'!$H$8*'3 Previsión Ingresos-Gastos'!J22)*(1+'Datos iniciales'!$C13)</f>
        <v>2.42</v>
      </c>
      <c r="P22" s="352">
        <f>('4 Periodo Cobro-Pago'!$H$8*'3 Previsión Ingresos-Gastos'!K22)*(1+'Datos iniciales'!$C13)</f>
        <v>2.42</v>
      </c>
      <c r="Q22" s="352">
        <f>('4 Periodo Cobro-Pago'!$H$8*'3 Previsión Ingresos-Gastos'!L22)*(1+'Datos iniciales'!$C13)</f>
        <v>2.42</v>
      </c>
      <c r="R22" s="352">
        <f>('4 Periodo Cobro-Pago'!$H$8*'3 Previsión Ingresos-Gastos'!M22)*(1+'Datos iniciales'!$C13)</f>
        <v>2.42</v>
      </c>
      <c r="S22" s="352">
        <f>('4 Periodo Cobro-Pago'!$H$8*'3 Previsión Ingresos-Gastos'!N22)*(1+'Datos iniciales'!$C13)</f>
        <v>2.42</v>
      </c>
      <c r="T22" s="352">
        <f>('4 Periodo Cobro-Pago'!$H$8*'3 Previsión Ingresos-Gastos'!O22)*(1+'Datos iniciales'!$C13)</f>
        <v>2.42</v>
      </c>
      <c r="U22" s="353"/>
      <c r="V22" s="352">
        <f t="shared" si="3"/>
        <v>19.36</v>
      </c>
      <c r="W22" s="352">
        <f>+SUM(Q22:T22)</f>
        <v>9.68</v>
      </c>
      <c r="X22" s="354"/>
      <c r="Y22" s="352">
        <f>+((('4 Periodo Cobro-Pago'!H8*'3 Previsión Ingresos-Gastos'!S22)*(1+'Datos iniciales'!$C$13))/12)*8</f>
        <v>24.2</v>
      </c>
      <c r="Z22" s="352">
        <f>+(Y22/8)*4</f>
        <v>12.1</v>
      </c>
      <c r="AA22" s="354"/>
      <c r="AB22" s="352">
        <f>((('4 Periodo Cobro-Pago'!H8*'3 Previsión Ingresos-Gastos'!U22)*(1+'Datos iniciales'!$C$13))/12)*8</f>
        <v>36.299999999999997</v>
      </c>
      <c r="AC22" s="352">
        <f>+(AB22/8)*4</f>
        <v>18.149999999999999</v>
      </c>
    </row>
    <row r="23" spans="1:30"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347"/>
      <c r="Q23" s="348"/>
      <c r="R23" s="163"/>
      <c r="S23" s="163"/>
      <c r="T23" s="163"/>
      <c r="U23" s="165"/>
      <c r="V23" s="349"/>
      <c r="W23" s="163"/>
      <c r="X23" s="355"/>
      <c r="Y23" s="348"/>
      <c r="Z23" s="163"/>
      <c r="AA23" s="355"/>
      <c r="AB23" s="348"/>
      <c r="AC23" s="163"/>
    </row>
    <row r="24" spans="1:30">
      <c r="A24" s="341" t="s">
        <v>108</v>
      </c>
      <c r="B24" s="341"/>
      <c r="C24" s="342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343"/>
      <c r="W24" s="343"/>
      <c r="X24" s="345"/>
      <c r="Y24" s="343">
        <f>+Q26+R26+S26+T26</f>
        <v>3278.0000000000009</v>
      </c>
      <c r="Z24" s="343"/>
      <c r="AA24" s="345"/>
      <c r="AB24" s="343">
        <f>+Z26</f>
        <v>14711.8</v>
      </c>
      <c r="AC24" s="343"/>
      <c r="AD24" s="346"/>
    </row>
    <row r="25" spans="1:30"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347"/>
      <c r="Q25" s="348"/>
      <c r="R25" s="163"/>
      <c r="S25" s="163"/>
      <c r="T25" s="163"/>
      <c r="U25" s="165"/>
      <c r="V25" s="349"/>
      <c r="W25" s="163"/>
      <c r="X25" s="355"/>
      <c r="Y25" s="348"/>
      <c r="Z25" s="163"/>
      <c r="AA25" s="355"/>
      <c r="AB25" s="348"/>
      <c r="AC25" s="163"/>
    </row>
    <row r="26" spans="1:30">
      <c r="A26" s="356" t="s">
        <v>113</v>
      </c>
      <c r="B26" s="356"/>
      <c r="C26" s="328"/>
      <c r="D26" s="357">
        <f t="shared" ref="D26:T26" si="4">+D8+D10+D17</f>
        <v>25000</v>
      </c>
      <c r="E26" s="357">
        <f t="shared" si="4"/>
        <v>32</v>
      </c>
      <c r="F26" s="357">
        <f t="shared" si="4"/>
        <v>93.580000000000013</v>
      </c>
      <c r="G26" s="357">
        <f t="shared" si="4"/>
        <v>184.74</v>
      </c>
      <c r="H26" s="357">
        <f t="shared" si="4"/>
        <v>305.48</v>
      </c>
      <c r="I26" s="357">
        <f t="shared" si="4"/>
        <v>455.80000000000007</v>
      </c>
      <c r="J26" s="357">
        <f t="shared" si="4"/>
        <v>603.70000000000005</v>
      </c>
      <c r="K26" s="357">
        <f t="shared" si="4"/>
        <v>751.60000000000014</v>
      </c>
      <c r="L26" s="357">
        <f t="shared" si="4"/>
        <v>899.50000000000011</v>
      </c>
      <c r="M26" s="357">
        <f t="shared" si="4"/>
        <v>1047.4000000000001</v>
      </c>
      <c r="N26" s="357">
        <f t="shared" si="4"/>
        <v>1195.3</v>
      </c>
      <c r="O26" s="357">
        <f t="shared" si="4"/>
        <v>1343.2</v>
      </c>
      <c r="P26" s="357">
        <f t="shared" si="4"/>
        <v>1491.1000000000001</v>
      </c>
      <c r="Q26" s="357">
        <f t="shared" si="4"/>
        <v>1252.0400000000002</v>
      </c>
      <c r="R26" s="357">
        <f t="shared" si="4"/>
        <v>983.40000000000009</v>
      </c>
      <c r="S26" s="357">
        <f t="shared" si="4"/>
        <v>685.18000000000018</v>
      </c>
      <c r="T26" s="357">
        <f t="shared" si="4"/>
        <v>357.38000000000005</v>
      </c>
      <c r="U26" s="358"/>
      <c r="V26" s="357">
        <f>+SUM(D26:P26)</f>
        <v>33403.4</v>
      </c>
      <c r="W26" s="357">
        <f>+W8+W10+W17</f>
        <v>3278</v>
      </c>
      <c r="X26" s="345"/>
      <c r="Y26" s="357">
        <f>+Y8+Y10+Y17+Y24</f>
        <v>102931.17000000001</v>
      </c>
      <c r="Z26" s="357">
        <f>+Z8+Z10+Z17</f>
        <v>14711.8</v>
      </c>
      <c r="AA26" s="345"/>
      <c r="AB26" s="357">
        <f>+AB8+AB10+AB17+AB24</f>
        <v>136062.40037620769</v>
      </c>
      <c r="AC26" s="357">
        <f>(AC8+AC10+AC17)</f>
        <v>3924.5749999999998</v>
      </c>
      <c r="AD26" s="359"/>
    </row>
    <row r="27" spans="1:30"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347"/>
      <c r="Q27" s="348"/>
      <c r="R27" s="163"/>
      <c r="S27" s="163"/>
      <c r="T27" s="163"/>
      <c r="U27" s="165"/>
      <c r="V27" s="349"/>
      <c r="W27" s="163"/>
      <c r="X27" s="355"/>
      <c r="Y27" s="348"/>
      <c r="Z27" s="163"/>
      <c r="AA27" s="355"/>
      <c r="AB27" s="348"/>
      <c r="AC27" s="163"/>
    </row>
    <row r="28" spans="1:30">
      <c r="A28" s="341" t="str">
        <f>+'4 Periodo Cobro-Pago'!B10</f>
        <v>Aprovisionamientos</v>
      </c>
      <c r="B28" s="341" t="str">
        <f>+IF(SUM(E28:T28)='3 Previsión Ingresos-Gastos'!Q29,"OK","REVISAR")</f>
        <v>OK</v>
      </c>
      <c r="C28" s="342"/>
      <c r="D28" s="343">
        <f t="shared" ref="D28:T28" si="5">+SUM(D29:D33)</f>
        <v>0</v>
      </c>
      <c r="E28" s="343">
        <f t="shared" si="5"/>
        <v>3.4060000000000006</v>
      </c>
      <c r="F28" s="343">
        <f t="shared" si="5"/>
        <v>10.218000000000002</v>
      </c>
      <c r="G28" s="343">
        <f t="shared" si="5"/>
        <v>20.436</v>
      </c>
      <c r="H28" s="343">
        <f t="shared" si="5"/>
        <v>34.060000000000009</v>
      </c>
      <c r="I28" s="343">
        <f t="shared" si="5"/>
        <v>51.090000000000011</v>
      </c>
      <c r="J28" s="343">
        <f t="shared" si="5"/>
        <v>68.120000000000019</v>
      </c>
      <c r="K28" s="343">
        <f t="shared" si="5"/>
        <v>85.15000000000002</v>
      </c>
      <c r="L28" s="343">
        <f t="shared" si="5"/>
        <v>102.18</v>
      </c>
      <c r="M28" s="343">
        <f t="shared" si="5"/>
        <v>119.21000000000002</v>
      </c>
      <c r="N28" s="343">
        <f t="shared" si="5"/>
        <v>136.24</v>
      </c>
      <c r="O28" s="343">
        <f t="shared" si="5"/>
        <v>153.27000000000001</v>
      </c>
      <c r="P28" s="343">
        <f t="shared" si="5"/>
        <v>170.3</v>
      </c>
      <c r="Q28" s="343">
        <f t="shared" si="5"/>
        <v>143.05200000000002</v>
      </c>
      <c r="R28" s="343">
        <f t="shared" si="5"/>
        <v>112.39800000000001</v>
      </c>
      <c r="S28" s="343">
        <f t="shared" si="5"/>
        <v>78.338000000000008</v>
      </c>
      <c r="T28" s="343">
        <f t="shared" si="5"/>
        <v>40.872000000000007</v>
      </c>
      <c r="U28" s="344"/>
      <c r="V28" s="343">
        <f t="shared" ref="V28:V33" si="6">+SUM(D28:P28)</f>
        <v>953.68000000000006</v>
      </c>
      <c r="W28" s="343">
        <f>+SUM(W29:W33)</f>
        <v>374.66000000000008</v>
      </c>
      <c r="X28" s="345"/>
      <c r="Y28" s="343">
        <f>+SUM(Y29:Y33)</f>
        <v>1660.4250000000002</v>
      </c>
      <c r="Z28" s="343">
        <f>+SUM(Z29:Z33)</f>
        <v>332.08500000000004</v>
      </c>
      <c r="AA28" s="345" t="str">
        <f>+IF(SUM(Y28:Z28)='3 Previsión Ingresos-Gastos'!S29,"OK","REVISAR")</f>
        <v>OK</v>
      </c>
      <c r="AB28" s="343">
        <f>+SUM(AB29:AB33)</f>
        <v>2490.6375000000003</v>
      </c>
      <c r="AC28" s="343">
        <f>+SUM(AC29:AC33)</f>
        <v>498.12750000000005</v>
      </c>
      <c r="AD28" s="346" t="str">
        <f>+IF(SUM(AB28:AC28)='3 Previsión Ingresos-Gastos'!U29,"OK","REVISAR")</f>
        <v>OK</v>
      </c>
    </row>
    <row r="29" spans="1:30" ht="14.25" thickBot="1">
      <c r="A29" s="351" t="s">
        <v>100</v>
      </c>
      <c r="D29" s="352"/>
      <c r="E29" s="352">
        <f>+'4 Periodo Cobro-Pago'!$D$10*'3 Previsión Ingresos-Gastos'!D29</f>
        <v>3.4060000000000006</v>
      </c>
      <c r="F29" s="352">
        <f>+'4 Periodo Cobro-Pago'!$D$10*'3 Previsión Ingresos-Gastos'!E29</f>
        <v>6.8120000000000012</v>
      </c>
      <c r="G29" s="352">
        <f>+'4 Periodo Cobro-Pago'!$D$10*'3 Previsión Ingresos-Gastos'!F29</f>
        <v>10.218000000000002</v>
      </c>
      <c r="H29" s="352">
        <f>+'4 Periodo Cobro-Pago'!$D$10*'3 Previsión Ingresos-Gastos'!G29</f>
        <v>13.624000000000002</v>
      </c>
      <c r="I29" s="352">
        <f>+'4 Periodo Cobro-Pago'!$D$10*'3 Previsión Ingresos-Gastos'!H29</f>
        <v>17.03</v>
      </c>
      <c r="J29" s="352">
        <f>+'4 Periodo Cobro-Pago'!$D$10*'3 Previsión Ingresos-Gastos'!I29</f>
        <v>20.436000000000003</v>
      </c>
      <c r="K29" s="352">
        <f>+'4 Periodo Cobro-Pago'!$D$10*'3 Previsión Ingresos-Gastos'!J29</f>
        <v>23.842000000000002</v>
      </c>
      <c r="L29" s="352">
        <f>+'4 Periodo Cobro-Pago'!$D$10*'3 Previsión Ingresos-Gastos'!K29</f>
        <v>27.248000000000005</v>
      </c>
      <c r="M29" s="352">
        <f>+'4 Periodo Cobro-Pago'!$D$10*'3 Previsión Ingresos-Gastos'!L29</f>
        <v>30.654000000000003</v>
      </c>
      <c r="N29" s="352">
        <f>+'4 Periodo Cobro-Pago'!$D$10*'3 Previsión Ingresos-Gastos'!M29</f>
        <v>34.06</v>
      </c>
      <c r="O29" s="352">
        <f>+'4 Periodo Cobro-Pago'!$D$10*'3 Previsión Ingresos-Gastos'!N29</f>
        <v>37.466000000000001</v>
      </c>
      <c r="P29" s="352">
        <f>+'4 Periodo Cobro-Pago'!$D$10*'3 Previsión Ingresos-Gastos'!O29</f>
        <v>40.872000000000007</v>
      </c>
      <c r="Q29" s="352"/>
      <c r="R29" s="352"/>
      <c r="S29" s="352"/>
      <c r="T29" s="352"/>
      <c r="U29" s="353"/>
      <c r="V29" s="352">
        <f t="shared" si="6"/>
        <v>265.66800000000001</v>
      </c>
      <c r="W29" s="352">
        <f>+SUM(Q29:T29)</f>
        <v>0</v>
      </c>
      <c r="X29" s="354"/>
      <c r="Y29" s="352">
        <f>+'4 Periodo Cobro-Pago'!D10*'3 Previsión Ingresos-Gastos'!S29</f>
        <v>398.50200000000001</v>
      </c>
      <c r="Z29" s="352"/>
      <c r="AA29" s="354"/>
      <c r="AB29" s="352">
        <f>+'4 Periodo Cobro-Pago'!D10*'3 Previsión Ingresos-Gastos'!U29</f>
        <v>597.75300000000004</v>
      </c>
      <c r="AC29" s="352"/>
    </row>
    <row r="30" spans="1:30" ht="14.25" thickBot="1">
      <c r="A30" s="351" t="s">
        <v>101</v>
      </c>
      <c r="D30" s="352"/>
      <c r="E30" s="352"/>
      <c r="F30" s="352">
        <f>+'4 Periodo Cobro-Pago'!$E$10*'3 Previsión Ingresos-Gastos'!D29</f>
        <v>3.4060000000000006</v>
      </c>
      <c r="G30" s="352">
        <f>+'4 Periodo Cobro-Pago'!$E$10*'3 Previsión Ingresos-Gastos'!E29</f>
        <v>6.8120000000000012</v>
      </c>
      <c r="H30" s="352">
        <f>+'4 Periodo Cobro-Pago'!$E$10*'3 Previsión Ingresos-Gastos'!F29</f>
        <v>10.218000000000002</v>
      </c>
      <c r="I30" s="352">
        <f>+'4 Periodo Cobro-Pago'!$E$10*'3 Previsión Ingresos-Gastos'!G29</f>
        <v>13.624000000000002</v>
      </c>
      <c r="J30" s="352">
        <f>+'4 Periodo Cobro-Pago'!$E$10*'3 Previsión Ingresos-Gastos'!H29</f>
        <v>17.03</v>
      </c>
      <c r="K30" s="352">
        <f>+'4 Periodo Cobro-Pago'!$E$10*'3 Previsión Ingresos-Gastos'!I29</f>
        <v>20.436000000000003</v>
      </c>
      <c r="L30" s="352">
        <f>+'4 Periodo Cobro-Pago'!$E$10*'3 Previsión Ingresos-Gastos'!J29</f>
        <v>23.842000000000002</v>
      </c>
      <c r="M30" s="352">
        <f>+'4 Periodo Cobro-Pago'!$E$10*'3 Previsión Ingresos-Gastos'!K29</f>
        <v>27.248000000000005</v>
      </c>
      <c r="N30" s="352">
        <f>+'4 Periodo Cobro-Pago'!$E$10*'3 Previsión Ingresos-Gastos'!L29</f>
        <v>30.654000000000003</v>
      </c>
      <c r="O30" s="352">
        <f>+'4 Periodo Cobro-Pago'!$E$10*'3 Previsión Ingresos-Gastos'!M29</f>
        <v>34.06</v>
      </c>
      <c r="P30" s="352">
        <f>+'4 Periodo Cobro-Pago'!$E$10*'3 Previsión Ingresos-Gastos'!N29</f>
        <v>37.466000000000001</v>
      </c>
      <c r="Q30" s="352">
        <f>+'4 Periodo Cobro-Pago'!$E$10*'3 Previsión Ingresos-Gastos'!O29</f>
        <v>40.872000000000007</v>
      </c>
      <c r="R30" s="352"/>
      <c r="S30" s="352"/>
      <c r="T30" s="352"/>
      <c r="U30" s="353"/>
      <c r="V30" s="352">
        <f t="shared" si="6"/>
        <v>224.79600000000002</v>
      </c>
      <c r="W30" s="352">
        <f>+SUM(Q30:T30)</f>
        <v>40.872000000000007</v>
      </c>
      <c r="X30" s="354"/>
      <c r="Y30" s="352">
        <f>+(('4 Periodo Cobro-Pago'!E10*'3 Previsión Ingresos-Gastos'!S29)/12)*11</f>
        <v>365.29349999999999</v>
      </c>
      <c r="Z30" s="352">
        <f>+(Y30/11)</f>
        <v>33.208500000000001</v>
      </c>
      <c r="AA30" s="354"/>
      <c r="AB30" s="352">
        <f>+(('4 Periodo Cobro-Pago'!E10*'3 Previsión Ingresos-Gastos'!U29)/12)*11</f>
        <v>547.94024999999999</v>
      </c>
      <c r="AC30" s="352">
        <f>+(AB30/11)</f>
        <v>49.812750000000001</v>
      </c>
    </row>
    <row r="31" spans="1:30" ht="14.25" thickBot="1">
      <c r="A31" s="351" t="s">
        <v>102</v>
      </c>
      <c r="D31" s="352"/>
      <c r="E31" s="352"/>
      <c r="F31" s="352"/>
      <c r="G31" s="352">
        <f>+'4 Periodo Cobro-Pago'!$F$10*'3 Previsión Ingresos-Gastos'!D29</f>
        <v>3.4060000000000006</v>
      </c>
      <c r="H31" s="352">
        <f>+'4 Periodo Cobro-Pago'!$F$10*'3 Previsión Ingresos-Gastos'!E29</f>
        <v>6.8120000000000012</v>
      </c>
      <c r="I31" s="352">
        <f>+'4 Periodo Cobro-Pago'!$F$10*'3 Previsión Ingresos-Gastos'!F29</f>
        <v>10.218000000000002</v>
      </c>
      <c r="J31" s="352">
        <f>+'4 Periodo Cobro-Pago'!$F$10*'3 Previsión Ingresos-Gastos'!G29</f>
        <v>13.624000000000002</v>
      </c>
      <c r="K31" s="352">
        <f>+'4 Periodo Cobro-Pago'!$F$10*'3 Previsión Ingresos-Gastos'!H29</f>
        <v>17.03</v>
      </c>
      <c r="L31" s="352">
        <f>+'4 Periodo Cobro-Pago'!$F$10*'3 Previsión Ingresos-Gastos'!I29</f>
        <v>20.436000000000003</v>
      </c>
      <c r="M31" s="352">
        <f>+'4 Periodo Cobro-Pago'!$F$10*'3 Previsión Ingresos-Gastos'!J29</f>
        <v>23.842000000000002</v>
      </c>
      <c r="N31" s="352">
        <f>+'4 Periodo Cobro-Pago'!$F$10*'3 Previsión Ingresos-Gastos'!K29</f>
        <v>27.248000000000005</v>
      </c>
      <c r="O31" s="352">
        <f>+'4 Periodo Cobro-Pago'!$F$10*'3 Previsión Ingresos-Gastos'!L29</f>
        <v>30.654000000000003</v>
      </c>
      <c r="P31" s="352">
        <f>+'4 Periodo Cobro-Pago'!$F$10*'3 Previsión Ingresos-Gastos'!M29</f>
        <v>34.06</v>
      </c>
      <c r="Q31" s="352">
        <f>+'4 Periodo Cobro-Pago'!$F$10*'3 Previsión Ingresos-Gastos'!N29</f>
        <v>37.466000000000001</v>
      </c>
      <c r="R31" s="352">
        <f>+'4 Periodo Cobro-Pago'!$F$10*'3 Previsión Ingresos-Gastos'!O29</f>
        <v>40.872000000000007</v>
      </c>
      <c r="S31" s="352"/>
      <c r="T31" s="352"/>
      <c r="U31" s="353"/>
      <c r="V31" s="352">
        <f t="shared" si="6"/>
        <v>187.33</v>
      </c>
      <c r="W31" s="352">
        <f>+SUM(Q31:T31)</f>
        <v>78.338000000000008</v>
      </c>
      <c r="X31" s="354"/>
      <c r="Y31" s="352">
        <f>+(('4 Periodo Cobro-Pago'!F10*'3 Previsión Ingresos-Gastos'!S29)/12)*10</f>
        <v>332.08500000000004</v>
      </c>
      <c r="Z31" s="352">
        <f>+(Y31/10)*2</f>
        <v>66.417000000000002</v>
      </c>
      <c r="AA31" s="354"/>
      <c r="AB31" s="352">
        <f>+(('4 Periodo Cobro-Pago'!F10*'3 Previsión Ingresos-Gastos'!U29)/12)*10</f>
        <v>498.1275</v>
      </c>
      <c r="AC31" s="352">
        <f>+(AB31/10)*2</f>
        <v>99.625500000000002</v>
      </c>
    </row>
    <row r="32" spans="1:30" ht="14.25" thickBot="1">
      <c r="A32" s="351" t="s">
        <v>103</v>
      </c>
      <c r="D32" s="352"/>
      <c r="E32" s="352"/>
      <c r="F32" s="352"/>
      <c r="G32" s="352"/>
      <c r="H32" s="352">
        <f>+'4 Periodo Cobro-Pago'!$G$10*'3 Previsión Ingresos-Gastos'!D29</f>
        <v>3.4060000000000006</v>
      </c>
      <c r="I32" s="352">
        <f>+'4 Periodo Cobro-Pago'!$G$10*'3 Previsión Ingresos-Gastos'!E29</f>
        <v>6.8120000000000012</v>
      </c>
      <c r="J32" s="352">
        <f>+'4 Periodo Cobro-Pago'!$G$10*'3 Previsión Ingresos-Gastos'!F29</f>
        <v>10.218000000000002</v>
      </c>
      <c r="K32" s="352">
        <f>+'4 Periodo Cobro-Pago'!$G$10*'3 Previsión Ingresos-Gastos'!G29</f>
        <v>13.624000000000002</v>
      </c>
      <c r="L32" s="352">
        <f>+'4 Periodo Cobro-Pago'!$G$10*'3 Previsión Ingresos-Gastos'!H29</f>
        <v>17.03</v>
      </c>
      <c r="M32" s="352">
        <f>+'4 Periodo Cobro-Pago'!$G$10*'3 Previsión Ingresos-Gastos'!I29</f>
        <v>20.436000000000003</v>
      </c>
      <c r="N32" s="352">
        <f>+'4 Periodo Cobro-Pago'!$G$10*'3 Previsión Ingresos-Gastos'!J29</f>
        <v>23.842000000000002</v>
      </c>
      <c r="O32" s="352">
        <f>+'4 Periodo Cobro-Pago'!$G$10*'3 Previsión Ingresos-Gastos'!K29</f>
        <v>27.248000000000005</v>
      </c>
      <c r="P32" s="352">
        <f>+'4 Periodo Cobro-Pago'!$G$10*'3 Previsión Ingresos-Gastos'!L29</f>
        <v>30.654000000000003</v>
      </c>
      <c r="Q32" s="352">
        <f>+'4 Periodo Cobro-Pago'!$G$10*'3 Previsión Ingresos-Gastos'!M29</f>
        <v>34.06</v>
      </c>
      <c r="R32" s="352">
        <f>+'4 Periodo Cobro-Pago'!$G$10*'3 Previsión Ingresos-Gastos'!N29</f>
        <v>37.466000000000001</v>
      </c>
      <c r="S32" s="352">
        <f>+'4 Periodo Cobro-Pago'!$G$10*'3 Previsión Ingresos-Gastos'!O29</f>
        <v>40.872000000000007</v>
      </c>
      <c r="T32" s="352"/>
      <c r="U32" s="353"/>
      <c r="V32" s="352">
        <f t="shared" si="6"/>
        <v>153.27000000000001</v>
      </c>
      <c r="W32" s="352">
        <f>+SUM(Q32:T32)</f>
        <v>112.39800000000002</v>
      </c>
      <c r="X32" s="354"/>
      <c r="Y32" s="352">
        <f>+(('4 Periodo Cobro-Pago'!G10*'3 Previsión Ingresos-Gastos'!S29)/12)*9</f>
        <v>298.87650000000002</v>
      </c>
      <c r="Z32" s="352">
        <f>+(Y32/9)*3</f>
        <v>99.625500000000002</v>
      </c>
      <c r="AA32" s="354"/>
      <c r="AB32" s="352">
        <f>+(('4 Periodo Cobro-Pago'!G10*'3 Previsión Ingresos-Gastos'!U29)/12)*9</f>
        <v>448.31475</v>
      </c>
      <c r="AC32" s="352">
        <f>+(AB32/9)*3</f>
        <v>149.43825000000001</v>
      </c>
    </row>
    <row r="33" spans="1:30" ht="14.25" thickBot="1">
      <c r="A33" s="351" t="s">
        <v>104</v>
      </c>
      <c r="D33" s="352"/>
      <c r="E33" s="352"/>
      <c r="F33" s="352"/>
      <c r="G33" s="352"/>
      <c r="H33" s="352"/>
      <c r="I33" s="352">
        <f>+'4 Periodo Cobro-Pago'!$H$10*'3 Previsión Ingresos-Gastos'!D29</f>
        <v>3.4060000000000006</v>
      </c>
      <c r="J33" s="352">
        <f>+'4 Periodo Cobro-Pago'!$H$10*'3 Previsión Ingresos-Gastos'!E29</f>
        <v>6.8120000000000012</v>
      </c>
      <c r="K33" s="352">
        <f>+'4 Periodo Cobro-Pago'!$H$10*'3 Previsión Ingresos-Gastos'!F29</f>
        <v>10.218000000000002</v>
      </c>
      <c r="L33" s="352">
        <f>+'4 Periodo Cobro-Pago'!$H$10*'3 Previsión Ingresos-Gastos'!G29</f>
        <v>13.624000000000002</v>
      </c>
      <c r="M33" s="352">
        <f>+'4 Periodo Cobro-Pago'!$H$10*'3 Previsión Ingresos-Gastos'!H29</f>
        <v>17.03</v>
      </c>
      <c r="N33" s="352">
        <f>+'4 Periodo Cobro-Pago'!$H$10*'3 Previsión Ingresos-Gastos'!I29</f>
        <v>20.436000000000003</v>
      </c>
      <c r="O33" s="352">
        <f>+'4 Periodo Cobro-Pago'!$H$10*'3 Previsión Ingresos-Gastos'!J29</f>
        <v>23.842000000000002</v>
      </c>
      <c r="P33" s="352">
        <f>+'4 Periodo Cobro-Pago'!$H$10*'3 Previsión Ingresos-Gastos'!K29</f>
        <v>27.248000000000005</v>
      </c>
      <c r="Q33" s="352">
        <f>+'4 Periodo Cobro-Pago'!$H$10*'3 Previsión Ingresos-Gastos'!L29</f>
        <v>30.654000000000003</v>
      </c>
      <c r="R33" s="352">
        <f>+'4 Periodo Cobro-Pago'!$H$10*'3 Previsión Ingresos-Gastos'!M29</f>
        <v>34.06</v>
      </c>
      <c r="S33" s="352">
        <f>+'4 Periodo Cobro-Pago'!$H$10*'3 Previsión Ingresos-Gastos'!N29</f>
        <v>37.466000000000001</v>
      </c>
      <c r="T33" s="352">
        <f>+'4 Periodo Cobro-Pago'!$H$10*'3 Previsión Ingresos-Gastos'!O29</f>
        <v>40.872000000000007</v>
      </c>
      <c r="U33" s="353"/>
      <c r="V33" s="352">
        <f t="shared" si="6"/>
        <v>122.61600000000001</v>
      </c>
      <c r="W33" s="352">
        <f>+SUM(Q33:T33)</f>
        <v>143.05200000000002</v>
      </c>
      <c r="X33" s="354"/>
      <c r="Y33" s="352">
        <f>+(('4 Periodo Cobro-Pago'!H10*'3 Previsión Ingresos-Gastos'!S29)/12)*8</f>
        <v>265.66800000000001</v>
      </c>
      <c r="Z33" s="352">
        <f>+(Y33/8)*4</f>
        <v>132.834</v>
      </c>
      <c r="AA33" s="354"/>
      <c r="AB33" s="352">
        <f>+(('4 Periodo Cobro-Pago'!H10*'3 Previsión Ingresos-Gastos'!U29)/12)*8</f>
        <v>398.50200000000001</v>
      </c>
      <c r="AC33" s="352">
        <f>+(AB33/8)*4</f>
        <v>199.251</v>
      </c>
    </row>
    <row r="34" spans="1:30"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347"/>
      <c r="Q34" s="348"/>
      <c r="R34" s="163"/>
      <c r="S34" s="163"/>
      <c r="T34" s="163"/>
      <c r="U34" s="165"/>
      <c r="V34" s="349"/>
      <c r="W34" s="163"/>
      <c r="X34" s="355"/>
      <c r="Y34" s="348"/>
      <c r="Z34" s="163"/>
      <c r="AA34" s="355"/>
      <c r="AB34" s="348"/>
      <c r="AC34" s="163"/>
    </row>
    <row r="35" spans="1:30">
      <c r="A35" s="341" t="str">
        <f>+'4 Periodo Cobro-Pago'!B12</f>
        <v>Otros aprovisionamientos</v>
      </c>
      <c r="B35" s="341" t="str">
        <f>+IF(SUM(E35:T35)='3 Previsión Ingresos-Gastos'!Q40*(1+'Datos iniciales'!$C13),"OK","REVISAR")</f>
        <v>OK</v>
      </c>
      <c r="C35" s="342"/>
      <c r="D35" s="343">
        <f t="shared" ref="D35:T35" si="7">+SUM(D36:D40)</f>
        <v>0</v>
      </c>
      <c r="E35" s="343">
        <f t="shared" si="7"/>
        <v>1.4520000000000002</v>
      </c>
      <c r="F35" s="343">
        <f t="shared" si="7"/>
        <v>2.9040000000000004</v>
      </c>
      <c r="G35" s="343">
        <f t="shared" si="7"/>
        <v>4.3560000000000008</v>
      </c>
      <c r="H35" s="343">
        <f t="shared" si="7"/>
        <v>5.8080000000000007</v>
      </c>
      <c r="I35" s="343">
        <f t="shared" si="7"/>
        <v>7.2600000000000007</v>
      </c>
      <c r="J35" s="343">
        <f t="shared" si="7"/>
        <v>7.2600000000000007</v>
      </c>
      <c r="K35" s="343">
        <f t="shared" si="7"/>
        <v>7.2600000000000007</v>
      </c>
      <c r="L35" s="343">
        <f t="shared" si="7"/>
        <v>7.2600000000000007</v>
      </c>
      <c r="M35" s="343">
        <f t="shared" si="7"/>
        <v>7.2600000000000007</v>
      </c>
      <c r="N35" s="343">
        <f t="shared" si="7"/>
        <v>7.2600000000000007</v>
      </c>
      <c r="O35" s="343">
        <f t="shared" si="7"/>
        <v>7.2600000000000007</v>
      </c>
      <c r="P35" s="343">
        <f t="shared" si="7"/>
        <v>7.2600000000000007</v>
      </c>
      <c r="Q35" s="343">
        <f t="shared" si="7"/>
        <v>5.8080000000000007</v>
      </c>
      <c r="R35" s="343">
        <f t="shared" si="7"/>
        <v>4.3560000000000008</v>
      </c>
      <c r="S35" s="343">
        <f t="shared" si="7"/>
        <v>2.9040000000000004</v>
      </c>
      <c r="T35" s="343">
        <f t="shared" si="7"/>
        <v>1.4520000000000002</v>
      </c>
      <c r="U35" s="344"/>
      <c r="V35" s="343">
        <f t="shared" ref="V35:V40" si="8">+SUM(D35:P35)</f>
        <v>72.600000000000009</v>
      </c>
      <c r="W35" s="343">
        <f>+SUM(W36:W40)</f>
        <v>14.520000000000003</v>
      </c>
      <c r="X35" s="345"/>
      <c r="Y35" s="343">
        <f>+SUM(Y36:Y40)</f>
        <v>108.9</v>
      </c>
      <c r="Z35" s="343">
        <f>+SUM(Z36:Z40)</f>
        <v>21.78</v>
      </c>
      <c r="AA35" s="345" t="str">
        <f>+IF(SUM(Y35:Z35)='3 Previsión Ingresos-Gastos'!S40*(1+'Datos iniciales'!$C13),"OK","REVISAR")</f>
        <v>OK</v>
      </c>
      <c r="AB35" s="343">
        <f>+SUM(AB36:AB40)</f>
        <v>163.35</v>
      </c>
      <c r="AC35" s="343">
        <f>+SUM(AC36:AC40)</f>
        <v>32.67</v>
      </c>
      <c r="AD35" s="346" t="str">
        <f>+IF(SUM(AB35:AC35)='3 Previsión Ingresos-Gastos'!U40*(1+'Datos iniciales'!$C13),"OK","REVISAR")</f>
        <v>OK</v>
      </c>
    </row>
    <row r="36" spans="1:30" ht="14.25" thickBot="1">
      <c r="A36" s="351" t="s">
        <v>100</v>
      </c>
      <c r="D36" s="352"/>
      <c r="E36" s="352">
        <f>+'4 Periodo Cobro-Pago'!$D12*'3 Previsión Ingresos-Gastos'!D40*(1+'Datos iniciales'!$C13)</f>
        <v>1.4520000000000002</v>
      </c>
      <c r="F36" s="352">
        <f>+'4 Periodo Cobro-Pago'!$D12*'3 Previsión Ingresos-Gastos'!E40*(1+'Datos iniciales'!$C13)</f>
        <v>1.4520000000000002</v>
      </c>
      <c r="G36" s="352">
        <f>+'4 Periodo Cobro-Pago'!$D12*'3 Previsión Ingresos-Gastos'!F40*(1+'Datos iniciales'!$C13)</f>
        <v>1.4520000000000002</v>
      </c>
      <c r="H36" s="352">
        <f>+'4 Periodo Cobro-Pago'!$D12*'3 Previsión Ingresos-Gastos'!G40*(1+'Datos iniciales'!$C13)</f>
        <v>1.4520000000000002</v>
      </c>
      <c r="I36" s="352">
        <f>+'4 Periodo Cobro-Pago'!$D12*'3 Previsión Ingresos-Gastos'!H40*(1+'Datos iniciales'!$C13)</f>
        <v>1.4520000000000002</v>
      </c>
      <c r="J36" s="352">
        <f>+'4 Periodo Cobro-Pago'!$D12*'3 Previsión Ingresos-Gastos'!I40*(1+'Datos iniciales'!$C13)</f>
        <v>1.4520000000000002</v>
      </c>
      <c r="K36" s="352">
        <f>+'4 Periodo Cobro-Pago'!$D12*'3 Previsión Ingresos-Gastos'!J40*(1+'Datos iniciales'!$C13)</f>
        <v>1.4520000000000002</v>
      </c>
      <c r="L36" s="352">
        <f>+'4 Periodo Cobro-Pago'!$D12*'3 Previsión Ingresos-Gastos'!K40*(1+'Datos iniciales'!$C13)</f>
        <v>1.4520000000000002</v>
      </c>
      <c r="M36" s="352">
        <f>+'4 Periodo Cobro-Pago'!$D12*'3 Previsión Ingresos-Gastos'!L40*(1+'Datos iniciales'!$C13)</f>
        <v>1.4520000000000002</v>
      </c>
      <c r="N36" s="352">
        <f>+'4 Periodo Cobro-Pago'!$D12*'3 Previsión Ingresos-Gastos'!M40*(1+'Datos iniciales'!$C13)</f>
        <v>1.4520000000000002</v>
      </c>
      <c r="O36" s="352">
        <f>+'4 Periodo Cobro-Pago'!$D12*'3 Previsión Ingresos-Gastos'!N40*(1+'Datos iniciales'!$C13)</f>
        <v>1.4520000000000002</v>
      </c>
      <c r="P36" s="352">
        <f>+'4 Periodo Cobro-Pago'!$D12*'3 Previsión Ingresos-Gastos'!O40*(1+'Datos iniciales'!$C13)</f>
        <v>1.4520000000000002</v>
      </c>
      <c r="Q36" s="352"/>
      <c r="R36" s="352"/>
      <c r="S36" s="352"/>
      <c r="T36" s="352"/>
      <c r="U36" s="353"/>
      <c r="V36" s="352">
        <f t="shared" si="8"/>
        <v>17.424000000000003</v>
      </c>
      <c r="W36" s="352">
        <f>+SUM(Q36:T36)</f>
        <v>0</v>
      </c>
      <c r="X36" s="354"/>
      <c r="Y36" s="352">
        <f>+'4 Periodo Cobro-Pago'!D12*'3 Previsión Ingresos-Gastos'!S40*(1+'Datos iniciales'!$C13)</f>
        <v>26.135999999999999</v>
      </c>
      <c r="Z36" s="352"/>
      <c r="AA36" s="354"/>
      <c r="AB36" s="352">
        <f>+'4 Periodo Cobro-Pago'!D12*'3 Previsión Ingresos-Gastos'!U40*(1+'Datos iniciales'!$C13)</f>
        <v>39.204000000000001</v>
      </c>
      <c r="AC36" s="352"/>
    </row>
    <row r="37" spans="1:30" ht="14.25" thickBot="1">
      <c r="A37" s="351" t="s">
        <v>101</v>
      </c>
      <c r="D37" s="352"/>
      <c r="E37" s="352"/>
      <c r="F37" s="352">
        <f>+'4 Periodo Cobro-Pago'!$E12*'3 Previsión Ingresos-Gastos'!D40*(1+'Datos iniciales'!$C13)</f>
        <v>1.4520000000000002</v>
      </c>
      <c r="G37" s="352">
        <f>+'4 Periodo Cobro-Pago'!$E12*'3 Previsión Ingresos-Gastos'!E40*(1+'Datos iniciales'!$C13)</f>
        <v>1.4520000000000002</v>
      </c>
      <c r="H37" s="352">
        <f>+'4 Periodo Cobro-Pago'!$E12*'3 Previsión Ingresos-Gastos'!F40*(1+'Datos iniciales'!$C13)</f>
        <v>1.4520000000000002</v>
      </c>
      <c r="I37" s="352">
        <f>+'4 Periodo Cobro-Pago'!$E12*'3 Previsión Ingresos-Gastos'!G40*(1+'Datos iniciales'!$C13)</f>
        <v>1.4520000000000002</v>
      </c>
      <c r="J37" s="352">
        <f>+'4 Periodo Cobro-Pago'!$E12*'3 Previsión Ingresos-Gastos'!H40*(1+'Datos iniciales'!$C13)</f>
        <v>1.4520000000000002</v>
      </c>
      <c r="K37" s="352">
        <f>+'4 Periodo Cobro-Pago'!$E12*'3 Previsión Ingresos-Gastos'!I40*(1+'Datos iniciales'!$C13)</f>
        <v>1.4520000000000002</v>
      </c>
      <c r="L37" s="352">
        <f>+'4 Periodo Cobro-Pago'!$E12*'3 Previsión Ingresos-Gastos'!J40*(1+'Datos iniciales'!$C13)</f>
        <v>1.4520000000000002</v>
      </c>
      <c r="M37" s="352">
        <f>+'4 Periodo Cobro-Pago'!$E12*'3 Previsión Ingresos-Gastos'!K40*(1+'Datos iniciales'!$C13)</f>
        <v>1.4520000000000002</v>
      </c>
      <c r="N37" s="352">
        <f>+'4 Periodo Cobro-Pago'!$E12*'3 Previsión Ingresos-Gastos'!L40*(1+'Datos iniciales'!$C13)</f>
        <v>1.4520000000000002</v>
      </c>
      <c r="O37" s="352">
        <f>+'4 Periodo Cobro-Pago'!$E12*'3 Previsión Ingresos-Gastos'!M40*(1+'Datos iniciales'!$C13)</f>
        <v>1.4520000000000002</v>
      </c>
      <c r="P37" s="352">
        <f>+'4 Periodo Cobro-Pago'!$E12*'3 Previsión Ingresos-Gastos'!N40*(1+'Datos iniciales'!$C13)</f>
        <v>1.4520000000000002</v>
      </c>
      <c r="Q37" s="352">
        <f>+'4 Periodo Cobro-Pago'!$E12*'3 Previsión Ingresos-Gastos'!O40*(1+'Datos iniciales'!$C13)</f>
        <v>1.4520000000000002</v>
      </c>
      <c r="R37" s="352"/>
      <c r="S37" s="352"/>
      <c r="T37" s="352"/>
      <c r="U37" s="353"/>
      <c r="V37" s="352">
        <f t="shared" si="8"/>
        <v>15.972000000000001</v>
      </c>
      <c r="W37" s="352">
        <f>+SUM(Q37:T37)</f>
        <v>1.4520000000000002</v>
      </c>
      <c r="X37" s="354"/>
      <c r="Y37" s="352">
        <f>+(('4 Periodo Cobro-Pago'!E12*'3 Previsión Ingresos-Gastos'!S40*(1+'Datos iniciales'!$C13))/12)*11</f>
        <v>23.957999999999998</v>
      </c>
      <c r="Z37" s="352">
        <f>+(Y37/11)</f>
        <v>2.1779999999999999</v>
      </c>
      <c r="AA37" s="354"/>
      <c r="AB37" s="352">
        <f>+(('4 Periodo Cobro-Pago'!E12*'3 Previsión Ingresos-Gastos'!U40*(1+'Datos iniciales'!$C13))/12)*11</f>
        <v>35.936999999999998</v>
      </c>
      <c r="AC37" s="352">
        <f>+(AB37/11)</f>
        <v>3.2669999999999999</v>
      </c>
    </row>
    <row r="38" spans="1:30" ht="14.25" thickBot="1">
      <c r="A38" s="351" t="s">
        <v>102</v>
      </c>
      <c r="D38" s="352"/>
      <c r="E38" s="352"/>
      <c r="F38" s="352"/>
      <c r="G38" s="352">
        <f>+'4 Periodo Cobro-Pago'!$F12*'3 Previsión Ingresos-Gastos'!D40*(1+'Datos iniciales'!$C13)</f>
        <v>1.4520000000000002</v>
      </c>
      <c r="H38" s="352">
        <f>+'4 Periodo Cobro-Pago'!$F12*'3 Previsión Ingresos-Gastos'!E40*(1+'Datos iniciales'!$C13)</f>
        <v>1.4520000000000002</v>
      </c>
      <c r="I38" s="352">
        <f>+'4 Periodo Cobro-Pago'!$F12*'3 Previsión Ingresos-Gastos'!F40*(1+'Datos iniciales'!$C13)</f>
        <v>1.4520000000000002</v>
      </c>
      <c r="J38" s="352">
        <f>+'4 Periodo Cobro-Pago'!$F12*'3 Previsión Ingresos-Gastos'!G40*(1+'Datos iniciales'!$C13)</f>
        <v>1.4520000000000002</v>
      </c>
      <c r="K38" s="352">
        <f>+'4 Periodo Cobro-Pago'!$F12*'3 Previsión Ingresos-Gastos'!H40*(1+'Datos iniciales'!$C13)</f>
        <v>1.4520000000000002</v>
      </c>
      <c r="L38" s="352">
        <f>+'4 Periodo Cobro-Pago'!$F12*'3 Previsión Ingresos-Gastos'!I40*(1+'Datos iniciales'!$C13)</f>
        <v>1.4520000000000002</v>
      </c>
      <c r="M38" s="352">
        <f>+'4 Periodo Cobro-Pago'!$F12*'3 Previsión Ingresos-Gastos'!J40*(1+'Datos iniciales'!$C13)</f>
        <v>1.4520000000000002</v>
      </c>
      <c r="N38" s="352">
        <f>+'4 Periodo Cobro-Pago'!$F12*'3 Previsión Ingresos-Gastos'!K40*(1+'Datos iniciales'!$C13)</f>
        <v>1.4520000000000002</v>
      </c>
      <c r="O38" s="352">
        <f>+'4 Periodo Cobro-Pago'!$F12*'3 Previsión Ingresos-Gastos'!L40*(1+'Datos iniciales'!$C13)</f>
        <v>1.4520000000000002</v>
      </c>
      <c r="P38" s="352">
        <f>+'4 Periodo Cobro-Pago'!$F12*'3 Previsión Ingresos-Gastos'!M40*(1+'Datos iniciales'!$C13)</f>
        <v>1.4520000000000002</v>
      </c>
      <c r="Q38" s="352">
        <f>+'4 Periodo Cobro-Pago'!$F12*'3 Previsión Ingresos-Gastos'!N40*(1+'Datos iniciales'!$C13)</f>
        <v>1.4520000000000002</v>
      </c>
      <c r="R38" s="352">
        <f>+'4 Periodo Cobro-Pago'!$F12*'3 Previsión Ingresos-Gastos'!O40*(1+'Datos iniciales'!$C13)</f>
        <v>1.4520000000000002</v>
      </c>
      <c r="S38" s="352"/>
      <c r="T38" s="352"/>
      <c r="U38" s="353"/>
      <c r="V38" s="352">
        <f t="shared" si="8"/>
        <v>14.520000000000001</v>
      </c>
      <c r="W38" s="352">
        <f>+SUM(Q38:T38)</f>
        <v>2.9040000000000004</v>
      </c>
      <c r="X38" s="354"/>
      <c r="Y38" s="352">
        <f>+(('4 Periodo Cobro-Pago'!F12*'3 Previsión Ingresos-Gastos'!S40*(1+'Datos iniciales'!$C13))/12)*10</f>
        <v>21.78</v>
      </c>
      <c r="Z38" s="352">
        <f>+(Y38/10)*2</f>
        <v>4.3559999999999999</v>
      </c>
      <c r="AA38" s="354"/>
      <c r="AB38" s="352">
        <f>+(('4 Periodo Cobro-Pago'!F12*'3 Previsión Ingresos-Gastos'!U40*(1+'Datos iniciales'!$C13))/12)*10</f>
        <v>32.67</v>
      </c>
      <c r="AC38" s="352">
        <f>+(AB38/10)*2</f>
        <v>6.5340000000000007</v>
      </c>
    </row>
    <row r="39" spans="1:30" ht="14.25" thickBot="1">
      <c r="A39" s="351" t="s">
        <v>103</v>
      </c>
      <c r="D39" s="352"/>
      <c r="E39" s="352"/>
      <c r="F39" s="352"/>
      <c r="G39" s="352"/>
      <c r="H39" s="352">
        <f>+'4 Periodo Cobro-Pago'!$G12*'3 Previsión Ingresos-Gastos'!D40*(1+'Datos iniciales'!$C13)</f>
        <v>1.4520000000000002</v>
      </c>
      <c r="I39" s="352">
        <f>+'4 Periodo Cobro-Pago'!$G12*'3 Previsión Ingresos-Gastos'!E40*(1+'Datos iniciales'!$C13)</f>
        <v>1.4520000000000002</v>
      </c>
      <c r="J39" s="352">
        <f>+'4 Periodo Cobro-Pago'!$G12*'3 Previsión Ingresos-Gastos'!F40*(1+'Datos iniciales'!$C13)</f>
        <v>1.4520000000000002</v>
      </c>
      <c r="K39" s="352">
        <f>+'4 Periodo Cobro-Pago'!$G12*'3 Previsión Ingresos-Gastos'!G40*(1+'Datos iniciales'!$C13)</f>
        <v>1.4520000000000002</v>
      </c>
      <c r="L39" s="352">
        <f>+'4 Periodo Cobro-Pago'!$G12*'3 Previsión Ingresos-Gastos'!H40*(1+'Datos iniciales'!$C13)</f>
        <v>1.4520000000000002</v>
      </c>
      <c r="M39" s="352">
        <f>+'4 Periodo Cobro-Pago'!$G12*'3 Previsión Ingresos-Gastos'!I40*(1+'Datos iniciales'!$C13)</f>
        <v>1.4520000000000002</v>
      </c>
      <c r="N39" s="352">
        <f>+'4 Periodo Cobro-Pago'!$G12*'3 Previsión Ingresos-Gastos'!J40*(1+'Datos iniciales'!$C13)</f>
        <v>1.4520000000000002</v>
      </c>
      <c r="O39" s="352">
        <f>+'4 Periodo Cobro-Pago'!$G12*'3 Previsión Ingresos-Gastos'!K40*(1+'Datos iniciales'!$C13)</f>
        <v>1.4520000000000002</v>
      </c>
      <c r="P39" s="352">
        <f>+'4 Periodo Cobro-Pago'!$G12*'3 Previsión Ingresos-Gastos'!L40*(1+'Datos iniciales'!$C13)</f>
        <v>1.4520000000000002</v>
      </c>
      <c r="Q39" s="352">
        <f>+'4 Periodo Cobro-Pago'!$G12*'3 Previsión Ingresos-Gastos'!M40*(1+'Datos iniciales'!$C13)</f>
        <v>1.4520000000000002</v>
      </c>
      <c r="R39" s="352">
        <f>+'4 Periodo Cobro-Pago'!$G12*'3 Previsión Ingresos-Gastos'!N40*(1+'Datos iniciales'!$C13)</f>
        <v>1.4520000000000002</v>
      </c>
      <c r="S39" s="352">
        <f>+'4 Periodo Cobro-Pago'!$G12*'3 Previsión Ingresos-Gastos'!O40*(1+'Datos iniciales'!$C13)</f>
        <v>1.4520000000000002</v>
      </c>
      <c r="T39" s="352"/>
      <c r="U39" s="353"/>
      <c r="V39" s="352">
        <f t="shared" si="8"/>
        <v>13.068000000000001</v>
      </c>
      <c r="W39" s="352">
        <f>+SUM(Q39:T39)</f>
        <v>4.3560000000000008</v>
      </c>
      <c r="X39" s="354"/>
      <c r="Y39" s="352">
        <f>+(('4 Periodo Cobro-Pago'!G12*'3 Previsión Ingresos-Gastos'!S40*(1+'Datos iniciales'!$C13))/12)*9</f>
        <v>19.602</v>
      </c>
      <c r="Z39" s="352">
        <f>+(Y39/9)*3</f>
        <v>6.5339999999999998</v>
      </c>
      <c r="AA39" s="354"/>
      <c r="AB39" s="352">
        <f>+(('4 Periodo Cobro-Pago'!G12*'3 Previsión Ingresos-Gastos'!U40*(1+'Datos iniciales'!$C13))/12)*9</f>
        <v>29.402999999999999</v>
      </c>
      <c r="AC39" s="352">
        <f>+(AB39/9)*3</f>
        <v>9.8010000000000002</v>
      </c>
    </row>
    <row r="40" spans="1:30" ht="14.25" thickBot="1">
      <c r="A40" s="351" t="s">
        <v>104</v>
      </c>
      <c r="D40" s="352"/>
      <c r="E40" s="352"/>
      <c r="F40" s="352"/>
      <c r="G40" s="352"/>
      <c r="H40" s="352"/>
      <c r="I40" s="352">
        <f>+'4 Periodo Cobro-Pago'!$H12*'3 Previsión Ingresos-Gastos'!D40*(1+'Datos iniciales'!$C13)</f>
        <v>1.4520000000000002</v>
      </c>
      <c r="J40" s="352">
        <f>+'4 Periodo Cobro-Pago'!$H12*'3 Previsión Ingresos-Gastos'!E40*(1+'Datos iniciales'!$C13)</f>
        <v>1.4520000000000002</v>
      </c>
      <c r="K40" s="352">
        <f>+'4 Periodo Cobro-Pago'!$H12*'3 Previsión Ingresos-Gastos'!F40*(1+'Datos iniciales'!$C13)</f>
        <v>1.4520000000000002</v>
      </c>
      <c r="L40" s="352">
        <f>+'4 Periodo Cobro-Pago'!$H12*'3 Previsión Ingresos-Gastos'!G40*(1+'Datos iniciales'!$C13)</f>
        <v>1.4520000000000002</v>
      </c>
      <c r="M40" s="352">
        <f>+'4 Periodo Cobro-Pago'!$H12*'3 Previsión Ingresos-Gastos'!H40*(1+'Datos iniciales'!$C13)</f>
        <v>1.4520000000000002</v>
      </c>
      <c r="N40" s="352">
        <f>+'4 Periodo Cobro-Pago'!$H12*'3 Previsión Ingresos-Gastos'!I40*(1+'Datos iniciales'!$C13)</f>
        <v>1.4520000000000002</v>
      </c>
      <c r="O40" s="352">
        <f>+'4 Periodo Cobro-Pago'!$H12*'3 Previsión Ingresos-Gastos'!J40*(1+'Datos iniciales'!$C13)</f>
        <v>1.4520000000000002</v>
      </c>
      <c r="P40" s="352">
        <f>+'4 Periodo Cobro-Pago'!$H12*'3 Previsión Ingresos-Gastos'!K40*(1+'Datos iniciales'!$C13)</f>
        <v>1.4520000000000002</v>
      </c>
      <c r="Q40" s="352">
        <f>+'4 Periodo Cobro-Pago'!$H12*'3 Previsión Ingresos-Gastos'!L40*(1+'Datos iniciales'!$C13)</f>
        <v>1.4520000000000002</v>
      </c>
      <c r="R40" s="352">
        <f>+'4 Periodo Cobro-Pago'!$H12*'3 Previsión Ingresos-Gastos'!M40*(1+'Datos iniciales'!$C13)</f>
        <v>1.4520000000000002</v>
      </c>
      <c r="S40" s="352">
        <f>+'4 Periodo Cobro-Pago'!$H12*'3 Previsión Ingresos-Gastos'!N40*(1+'Datos iniciales'!$C13)</f>
        <v>1.4520000000000002</v>
      </c>
      <c r="T40" s="352">
        <f>+'4 Periodo Cobro-Pago'!$H12*'3 Previsión Ingresos-Gastos'!O40*(1+'Datos iniciales'!$C13)</f>
        <v>1.4520000000000002</v>
      </c>
      <c r="U40" s="353"/>
      <c r="V40" s="352">
        <f t="shared" si="8"/>
        <v>11.616000000000001</v>
      </c>
      <c r="W40" s="352">
        <f>+SUM(Q40:T40)</f>
        <v>5.8080000000000007</v>
      </c>
      <c r="X40" s="354"/>
      <c r="Y40" s="352">
        <f>+(('4 Periodo Cobro-Pago'!H12*'3 Previsión Ingresos-Gastos'!S40*(1+'Datos iniciales'!$C13))/12)*8</f>
        <v>17.423999999999999</v>
      </c>
      <c r="Z40" s="352">
        <f>+(Y40/8)*4</f>
        <v>8.7119999999999997</v>
      </c>
      <c r="AA40" s="354"/>
      <c r="AB40" s="352">
        <f>+(('4 Periodo Cobro-Pago'!H12*'3 Previsión Ingresos-Gastos'!U40*(1+'Datos iniciales'!$C13))/12)*8</f>
        <v>26.135999999999999</v>
      </c>
      <c r="AC40" s="352">
        <f>+(AB40/8)*4</f>
        <v>13.068</v>
      </c>
    </row>
    <row r="41" spans="1:30"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347"/>
      <c r="Q41" s="348"/>
      <c r="R41" s="163"/>
      <c r="S41" s="163"/>
      <c r="T41" s="163"/>
      <c r="U41" s="165"/>
      <c r="V41" s="349"/>
      <c r="W41" s="163"/>
      <c r="X41" s="355"/>
      <c r="Y41" s="348"/>
      <c r="Z41" s="163"/>
      <c r="AA41" s="355"/>
      <c r="AB41" s="348"/>
      <c r="AC41" s="163"/>
    </row>
    <row r="42" spans="1:30">
      <c r="A42" s="341" t="str">
        <f>+'4 Periodo Cobro-Pago'!B13</f>
        <v>Trabajos realizados por terceros</v>
      </c>
      <c r="B42" s="341" t="str">
        <f>+IF(SUM(E42:T42)='3 Previsión Ingresos-Gastos'!Q44*(1+'Datos iniciales'!$C13),"OK","REVISAR")</f>
        <v>OK</v>
      </c>
      <c r="C42" s="342"/>
      <c r="D42" s="343">
        <f t="shared" ref="D42:T42" si="9">+SUM(D43:D47)</f>
        <v>0</v>
      </c>
      <c r="E42" s="343">
        <f t="shared" si="9"/>
        <v>6.05</v>
      </c>
      <c r="F42" s="343">
        <f t="shared" si="9"/>
        <v>12.1</v>
      </c>
      <c r="G42" s="343">
        <f t="shared" si="9"/>
        <v>18.149999999999999</v>
      </c>
      <c r="H42" s="343">
        <f t="shared" si="9"/>
        <v>24.2</v>
      </c>
      <c r="I42" s="343">
        <f t="shared" si="9"/>
        <v>30.25</v>
      </c>
      <c r="J42" s="343">
        <f t="shared" si="9"/>
        <v>30.25</v>
      </c>
      <c r="K42" s="343">
        <f t="shared" si="9"/>
        <v>30.25</v>
      </c>
      <c r="L42" s="343">
        <f t="shared" si="9"/>
        <v>30.25</v>
      </c>
      <c r="M42" s="343">
        <f t="shared" si="9"/>
        <v>30.25</v>
      </c>
      <c r="N42" s="343">
        <f t="shared" si="9"/>
        <v>30.25</v>
      </c>
      <c r="O42" s="343">
        <f t="shared" si="9"/>
        <v>30.25</v>
      </c>
      <c r="P42" s="343">
        <f t="shared" si="9"/>
        <v>30.25</v>
      </c>
      <c r="Q42" s="343">
        <f t="shared" si="9"/>
        <v>24.2</v>
      </c>
      <c r="R42" s="343">
        <f t="shared" si="9"/>
        <v>18.149999999999999</v>
      </c>
      <c r="S42" s="343">
        <f t="shared" si="9"/>
        <v>12.1</v>
      </c>
      <c r="T42" s="343">
        <f t="shared" si="9"/>
        <v>6.05</v>
      </c>
      <c r="U42" s="344"/>
      <c r="V42" s="343">
        <f t="shared" ref="V42:V47" si="10">+SUM(D42:P42)</f>
        <v>302.5</v>
      </c>
      <c r="W42" s="343">
        <f>+SUM(W43:W47)</f>
        <v>60.5</v>
      </c>
      <c r="X42" s="345"/>
      <c r="Y42" s="343">
        <f>+SUM(Y43:Y47)</f>
        <v>453.75</v>
      </c>
      <c r="Z42" s="343">
        <f>+SUM(Z43:Z47)</f>
        <v>90.75</v>
      </c>
      <c r="AA42" s="345" t="str">
        <f>+IF(SUM(Y42:Z42)='3 Previsión Ingresos-Gastos'!S44*(1+'Datos iniciales'!$C13),"OK","REVISAR")</f>
        <v>OK</v>
      </c>
      <c r="AB42" s="343">
        <f>+SUM(AB43:AB47)</f>
        <v>680.62499999999989</v>
      </c>
      <c r="AC42" s="343">
        <f>+SUM(AC43:AC47)</f>
        <v>136.125</v>
      </c>
      <c r="AD42" s="346" t="str">
        <f>+IF(SUM(AB42:AC42)='3 Previsión Ingresos-Gastos'!U44*(1+'Datos iniciales'!$C13),"OK","REVISAR")</f>
        <v>OK</v>
      </c>
    </row>
    <row r="43" spans="1:30" ht="14.25" thickBot="1">
      <c r="A43" s="351" t="s">
        <v>100</v>
      </c>
      <c r="D43" s="352"/>
      <c r="E43" s="352">
        <f>+'4 Periodo Cobro-Pago'!$D13*'3 Previsión Ingresos-Gastos'!D44*(1+'Datos iniciales'!$C13)</f>
        <v>6.05</v>
      </c>
      <c r="F43" s="352">
        <f>+'4 Periodo Cobro-Pago'!$D13*'3 Previsión Ingresos-Gastos'!E44*(1+'Datos iniciales'!$C13)</f>
        <v>6.05</v>
      </c>
      <c r="G43" s="352">
        <f>+'4 Periodo Cobro-Pago'!$D13*'3 Previsión Ingresos-Gastos'!F44*(1+'Datos iniciales'!$C13)</f>
        <v>6.05</v>
      </c>
      <c r="H43" s="352">
        <f>+'4 Periodo Cobro-Pago'!$D13*'3 Previsión Ingresos-Gastos'!G44*(1+'Datos iniciales'!$C13)</f>
        <v>6.05</v>
      </c>
      <c r="I43" s="352">
        <f>+'4 Periodo Cobro-Pago'!$D13*'3 Previsión Ingresos-Gastos'!H44*(1+'Datos iniciales'!$C13)</f>
        <v>6.05</v>
      </c>
      <c r="J43" s="352">
        <f>+'4 Periodo Cobro-Pago'!$D13*'3 Previsión Ingresos-Gastos'!I44*(1+'Datos iniciales'!$C13)</f>
        <v>6.05</v>
      </c>
      <c r="K43" s="352">
        <f>+'4 Periodo Cobro-Pago'!$D13*'3 Previsión Ingresos-Gastos'!J44*(1+'Datos iniciales'!$C13)</f>
        <v>6.05</v>
      </c>
      <c r="L43" s="352">
        <f>+'4 Periodo Cobro-Pago'!$D13*'3 Previsión Ingresos-Gastos'!K44*(1+'Datos iniciales'!$C13)</f>
        <v>6.05</v>
      </c>
      <c r="M43" s="352">
        <f>+'4 Periodo Cobro-Pago'!$D13*'3 Previsión Ingresos-Gastos'!L44*(1+'Datos iniciales'!$C13)</f>
        <v>6.05</v>
      </c>
      <c r="N43" s="352">
        <f>+'4 Periodo Cobro-Pago'!$D13*'3 Previsión Ingresos-Gastos'!M44*(1+'Datos iniciales'!$C13)</f>
        <v>6.05</v>
      </c>
      <c r="O43" s="352">
        <f>+'4 Periodo Cobro-Pago'!$D13*'3 Previsión Ingresos-Gastos'!N44*(1+'Datos iniciales'!$C13)</f>
        <v>6.05</v>
      </c>
      <c r="P43" s="352">
        <f>+'4 Periodo Cobro-Pago'!$D13*'3 Previsión Ingresos-Gastos'!O44*(1+'Datos iniciales'!$C13)</f>
        <v>6.05</v>
      </c>
      <c r="Q43" s="352"/>
      <c r="R43" s="352"/>
      <c r="S43" s="352"/>
      <c r="T43" s="352"/>
      <c r="U43" s="353"/>
      <c r="V43" s="352">
        <f t="shared" si="10"/>
        <v>72.59999999999998</v>
      </c>
      <c r="W43" s="352">
        <f>+SUM(Q43:T43)</f>
        <v>0</v>
      </c>
      <c r="X43" s="354"/>
      <c r="Y43" s="352">
        <f>+'4 Periodo Cobro-Pago'!D13*'3 Previsión Ingresos-Gastos'!S44*(1+'Datos iniciales'!$C13)</f>
        <v>108.89999999999999</v>
      </c>
      <c r="Z43" s="352"/>
      <c r="AA43" s="354"/>
      <c r="AB43" s="352">
        <f>+'4 Periodo Cobro-Pago'!D13*'3 Previsión Ingresos-Gastos'!U44*(1+'Datos iniciales'!$C13)</f>
        <v>163.35</v>
      </c>
      <c r="AC43" s="352"/>
    </row>
    <row r="44" spans="1:30" ht="14.25" thickBot="1">
      <c r="A44" s="351" t="s">
        <v>101</v>
      </c>
      <c r="D44" s="352"/>
      <c r="E44" s="352"/>
      <c r="F44" s="352">
        <f>+'4 Periodo Cobro-Pago'!$E13*'3 Previsión Ingresos-Gastos'!D44*(1+'Datos iniciales'!$C13)</f>
        <v>6.05</v>
      </c>
      <c r="G44" s="352">
        <f>+'4 Periodo Cobro-Pago'!$E13*'3 Previsión Ingresos-Gastos'!E44*(1+'Datos iniciales'!$C13)</f>
        <v>6.05</v>
      </c>
      <c r="H44" s="352">
        <f>+'4 Periodo Cobro-Pago'!$E13*'3 Previsión Ingresos-Gastos'!F44*(1+'Datos iniciales'!$C13)</f>
        <v>6.05</v>
      </c>
      <c r="I44" s="352">
        <f>+'4 Periodo Cobro-Pago'!$E13*'3 Previsión Ingresos-Gastos'!G44*(1+'Datos iniciales'!$C13)</f>
        <v>6.05</v>
      </c>
      <c r="J44" s="352">
        <f>+'4 Periodo Cobro-Pago'!$E13*'3 Previsión Ingresos-Gastos'!H44*(1+'Datos iniciales'!$C13)</f>
        <v>6.05</v>
      </c>
      <c r="K44" s="352">
        <f>+'4 Periodo Cobro-Pago'!$E13*'3 Previsión Ingresos-Gastos'!I44*(1+'Datos iniciales'!$C13)</f>
        <v>6.05</v>
      </c>
      <c r="L44" s="352">
        <f>+'4 Periodo Cobro-Pago'!$E13*'3 Previsión Ingresos-Gastos'!J44*(1+'Datos iniciales'!$C13)</f>
        <v>6.05</v>
      </c>
      <c r="M44" s="352">
        <f>+'4 Periodo Cobro-Pago'!$E13*'3 Previsión Ingresos-Gastos'!K44*(1+'Datos iniciales'!$C13)</f>
        <v>6.05</v>
      </c>
      <c r="N44" s="352">
        <f>+'4 Periodo Cobro-Pago'!$E13*'3 Previsión Ingresos-Gastos'!L44*(1+'Datos iniciales'!$C13)</f>
        <v>6.05</v>
      </c>
      <c r="O44" s="352">
        <f>+'4 Periodo Cobro-Pago'!$E13*'3 Previsión Ingresos-Gastos'!M44*(1+'Datos iniciales'!$C13)</f>
        <v>6.05</v>
      </c>
      <c r="P44" s="352">
        <f>+'4 Periodo Cobro-Pago'!$E13*'3 Previsión Ingresos-Gastos'!N44*(1+'Datos iniciales'!$C13)</f>
        <v>6.05</v>
      </c>
      <c r="Q44" s="352">
        <f>+'4 Periodo Cobro-Pago'!$E13*'3 Previsión Ingresos-Gastos'!O44*(1+'Datos iniciales'!$C13)</f>
        <v>6.05</v>
      </c>
      <c r="R44" s="352"/>
      <c r="S44" s="352"/>
      <c r="T44" s="352"/>
      <c r="U44" s="353"/>
      <c r="V44" s="352">
        <f t="shared" si="10"/>
        <v>66.549999999999983</v>
      </c>
      <c r="W44" s="352">
        <f>+SUM(Q44:T44)</f>
        <v>6.05</v>
      </c>
      <c r="X44" s="354"/>
      <c r="Y44" s="352">
        <f>+(('4 Periodo Cobro-Pago'!E13*'3 Previsión Ingresos-Gastos'!S44*(1+'Datos iniciales'!$C13))/12)*11</f>
        <v>99.824999999999989</v>
      </c>
      <c r="Z44" s="352">
        <f>+(Y44/11)</f>
        <v>9.0749999999999993</v>
      </c>
      <c r="AA44" s="354"/>
      <c r="AB44" s="352">
        <f>+(('4 Periodo Cobro-Pago'!E13*'3 Previsión Ingresos-Gastos'!U44*(1+'Datos iniciales'!$C13))/12)*11</f>
        <v>149.73749999999998</v>
      </c>
      <c r="AC44" s="352">
        <f>+(AB44/11)</f>
        <v>13.612499999999999</v>
      </c>
    </row>
    <row r="45" spans="1:30" ht="14.25" thickBot="1">
      <c r="A45" s="351" t="s">
        <v>102</v>
      </c>
      <c r="D45" s="352"/>
      <c r="E45" s="352"/>
      <c r="F45" s="352"/>
      <c r="G45" s="352">
        <f>+'4 Periodo Cobro-Pago'!$F13*'3 Previsión Ingresos-Gastos'!D44*(1+'Datos iniciales'!$C13)</f>
        <v>6.05</v>
      </c>
      <c r="H45" s="352">
        <f>+'4 Periodo Cobro-Pago'!$F13*'3 Previsión Ingresos-Gastos'!E44*(1+'Datos iniciales'!$C13)</f>
        <v>6.05</v>
      </c>
      <c r="I45" s="352">
        <f>+'4 Periodo Cobro-Pago'!$F13*'3 Previsión Ingresos-Gastos'!F44*(1+'Datos iniciales'!$C13)</f>
        <v>6.05</v>
      </c>
      <c r="J45" s="352">
        <f>+'4 Periodo Cobro-Pago'!$F13*'3 Previsión Ingresos-Gastos'!G44*(1+'Datos iniciales'!$C13)</f>
        <v>6.05</v>
      </c>
      <c r="K45" s="352">
        <f>+'4 Periodo Cobro-Pago'!$F13*'3 Previsión Ingresos-Gastos'!H44*(1+'Datos iniciales'!$C13)</f>
        <v>6.05</v>
      </c>
      <c r="L45" s="352">
        <f>+'4 Periodo Cobro-Pago'!$F13*'3 Previsión Ingresos-Gastos'!I44*(1+'Datos iniciales'!$C13)</f>
        <v>6.05</v>
      </c>
      <c r="M45" s="352">
        <f>+'4 Periodo Cobro-Pago'!$F13*'3 Previsión Ingresos-Gastos'!J44*(1+'Datos iniciales'!$C13)</f>
        <v>6.05</v>
      </c>
      <c r="N45" s="352">
        <f>+'4 Periodo Cobro-Pago'!$F13*'3 Previsión Ingresos-Gastos'!K44*(1+'Datos iniciales'!$C13)</f>
        <v>6.05</v>
      </c>
      <c r="O45" s="352">
        <f>+'4 Periodo Cobro-Pago'!$F13*'3 Previsión Ingresos-Gastos'!L44*(1+'Datos iniciales'!$C13)</f>
        <v>6.05</v>
      </c>
      <c r="P45" s="352">
        <f>+'4 Periodo Cobro-Pago'!$F13*'3 Previsión Ingresos-Gastos'!M44*(1+'Datos iniciales'!$C13)</f>
        <v>6.05</v>
      </c>
      <c r="Q45" s="352">
        <f>+'4 Periodo Cobro-Pago'!$F13*'3 Previsión Ingresos-Gastos'!N44*(1+'Datos iniciales'!$C13)</f>
        <v>6.05</v>
      </c>
      <c r="R45" s="352">
        <f>+'4 Periodo Cobro-Pago'!$F13*'3 Previsión Ingresos-Gastos'!O44*(1+'Datos iniciales'!$C13)</f>
        <v>6.05</v>
      </c>
      <c r="S45" s="352"/>
      <c r="T45" s="352"/>
      <c r="U45" s="353"/>
      <c r="V45" s="352">
        <f t="shared" si="10"/>
        <v>60.499999999999986</v>
      </c>
      <c r="W45" s="352">
        <f>+SUM(Q45:T45)</f>
        <v>12.1</v>
      </c>
      <c r="X45" s="354"/>
      <c r="Y45" s="352">
        <f>+(('4 Periodo Cobro-Pago'!F13*'3 Previsión Ingresos-Gastos'!S44*(1+'Datos iniciales'!$C13))/12)*10</f>
        <v>90.75</v>
      </c>
      <c r="Z45" s="352">
        <f>+(Y45/10)*2</f>
        <v>18.149999999999999</v>
      </c>
      <c r="AA45" s="354"/>
      <c r="AB45" s="352">
        <f>+(('4 Periodo Cobro-Pago'!F13*'3 Previsión Ingresos-Gastos'!U44*(1+'Datos iniciales'!$C13))/12)*10</f>
        <v>136.125</v>
      </c>
      <c r="AC45" s="352">
        <f>+(AB45/10)*2</f>
        <v>27.225000000000001</v>
      </c>
    </row>
    <row r="46" spans="1:30" ht="14.25" thickBot="1">
      <c r="A46" s="351" t="s">
        <v>103</v>
      </c>
      <c r="D46" s="352"/>
      <c r="E46" s="352"/>
      <c r="F46" s="352"/>
      <c r="G46" s="352"/>
      <c r="H46" s="352">
        <f>+'4 Periodo Cobro-Pago'!$G13*'3 Previsión Ingresos-Gastos'!D44*(1+'Datos iniciales'!$C13)</f>
        <v>6.05</v>
      </c>
      <c r="I46" s="352">
        <f>+'4 Periodo Cobro-Pago'!$G13*'3 Previsión Ingresos-Gastos'!E44*(1+'Datos iniciales'!$C13)</f>
        <v>6.05</v>
      </c>
      <c r="J46" s="352">
        <f>+'4 Periodo Cobro-Pago'!$G13*'3 Previsión Ingresos-Gastos'!F44*(1+'Datos iniciales'!$C13)</f>
        <v>6.05</v>
      </c>
      <c r="K46" s="352">
        <f>+'4 Periodo Cobro-Pago'!$G13*'3 Previsión Ingresos-Gastos'!G44*(1+'Datos iniciales'!$C13)</f>
        <v>6.05</v>
      </c>
      <c r="L46" s="352">
        <f>+'4 Periodo Cobro-Pago'!$G13*'3 Previsión Ingresos-Gastos'!H44*(1+'Datos iniciales'!$C13)</f>
        <v>6.05</v>
      </c>
      <c r="M46" s="352">
        <f>+'4 Periodo Cobro-Pago'!$G13*'3 Previsión Ingresos-Gastos'!I44*(1+'Datos iniciales'!$C13)</f>
        <v>6.05</v>
      </c>
      <c r="N46" s="352">
        <f>+'4 Periodo Cobro-Pago'!$G13*'3 Previsión Ingresos-Gastos'!J44*(1+'Datos iniciales'!$C13)</f>
        <v>6.05</v>
      </c>
      <c r="O46" s="352">
        <f>+'4 Periodo Cobro-Pago'!$G13*'3 Previsión Ingresos-Gastos'!K44*(1+'Datos iniciales'!$C13)</f>
        <v>6.05</v>
      </c>
      <c r="P46" s="352">
        <f>+'4 Periodo Cobro-Pago'!$G13*'3 Previsión Ingresos-Gastos'!L44*(1+'Datos iniciales'!$C13)</f>
        <v>6.05</v>
      </c>
      <c r="Q46" s="352">
        <f>+'4 Periodo Cobro-Pago'!$G13*'3 Previsión Ingresos-Gastos'!M44*(1+'Datos iniciales'!$C13)</f>
        <v>6.05</v>
      </c>
      <c r="R46" s="352">
        <f>+'4 Periodo Cobro-Pago'!$G13*'3 Previsión Ingresos-Gastos'!N44*(1+'Datos iniciales'!$C13)</f>
        <v>6.05</v>
      </c>
      <c r="S46" s="352">
        <f>+'4 Periodo Cobro-Pago'!$G13*'3 Previsión Ingresos-Gastos'!O44*(1+'Datos iniciales'!$C13)</f>
        <v>6.05</v>
      </c>
      <c r="T46" s="352"/>
      <c r="U46" s="353"/>
      <c r="V46" s="352">
        <f t="shared" si="10"/>
        <v>54.449999999999989</v>
      </c>
      <c r="W46" s="352">
        <f>+SUM(Q46:T46)</f>
        <v>18.149999999999999</v>
      </c>
      <c r="X46" s="354"/>
      <c r="Y46" s="352">
        <f>+(('4 Periodo Cobro-Pago'!G13*'3 Previsión Ingresos-Gastos'!S44*(1+'Datos iniciales'!$C13))/12)*9</f>
        <v>81.674999999999997</v>
      </c>
      <c r="Z46" s="352">
        <f>+(Y46/9)*3</f>
        <v>27.224999999999998</v>
      </c>
      <c r="AA46" s="354"/>
      <c r="AB46" s="352">
        <f>+(('4 Periodo Cobro-Pago'!G13*'3 Previsión Ingresos-Gastos'!U44*(1+'Datos iniciales'!$C13))/12)*9</f>
        <v>122.51249999999999</v>
      </c>
      <c r="AC46" s="352">
        <f>+(AB46/9)*3</f>
        <v>40.837499999999999</v>
      </c>
    </row>
    <row r="47" spans="1:30" ht="14.25" thickBot="1">
      <c r="A47" s="351" t="s">
        <v>104</v>
      </c>
      <c r="D47" s="352"/>
      <c r="E47" s="352"/>
      <c r="F47" s="352"/>
      <c r="G47" s="352"/>
      <c r="H47" s="352"/>
      <c r="I47" s="352">
        <f>+'4 Periodo Cobro-Pago'!$H13*'3 Previsión Ingresos-Gastos'!D44*(1+'Datos iniciales'!$C13)</f>
        <v>6.05</v>
      </c>
      <c r="J47" s="352">
        <f>+'4 Periodo Cobro-Pago'!$H13*'3 Previsión Ingresos-Gastos'!E44*(1+'Datos iniciales'!$C13)</f>
        <v>6.05</v>
      </c>
      <c r="K47" s="352">
        <f>+'4 Periodo Cobro-Pago'!$H13*'3 Previsión Ingresos-Gastos'!F44*(1+'Datos iniciales'!$C13)</f>
        <v>6.05</v>
      </c>
      <c r="L47" s="352">
        <f>+'4 Periodo Cobro-Pago'!$H13*'3 Previsión Ingresos-Gastos'!G44*(1+'Datos iniciales'!$C13)</f>
        <v>6.05</v>
      </c>
      <c r="M47" s="352">
        <f>+'4 Periodo Cobro-Pago'!$H13*'3 Previsión Ingresos-Gastos'!H44*(1+'Datos iniciales'!$C13)</f>
        <v>6.05</v>
      </c>
      <c r="N47" s="352">
        <f>+'4 Periodo Cobro-Pago'!$H13*'3 Previsión Ingresos-Gastos'!I44*(1+'Datos iniciales'!$C13)</f>
        <v>6.05</v>
      </c>
      <c r="O47" s="352">
        <f>+'4 Periodo Cobro-Pago'!$H13*'3 Previsión Ingresos-Gastos'!J44*(1+'Datos iniciales'!$C13)</f>
        <v>6.05</v>
      </c>
      <c r="P47" s="352">
        <f>+'4 Periodo Cobro-Pago'!$H13*'3 Previsión Ingresos-Gastos'!K44*(1+'Datos iniciales'!$C13)</f>
        <v>6.05</v>
      </c>
      <c r="Q47" s="352">
        <f>+'4 Periodo Cobro-Pago'!$H13*'3 Previsión Ingresos-Gastos'!L44*(1+'Datos iniciales'!$C13)</f>
        <v>6.05</v>
      </c>
      <c r="R47" s="352">
        <f>+'4 Periodo Cobro-Pago'!$H13*'3 Previsión Ingresos-Gastos'!M44*(1+'Datos iniciales'!$C13)</f>
        <v>6.05</v>
      </c>
      <c r="S47" s="352">
        <f>+'4 Periodo Cobro-Pago'!$H13*'3 Previsión Ingresos-Gastos'!N44*(1+'Datos iniciales'!$C13)</f>
        <v>6.05</v>
      </c>
      <c r="T47" s="352">
        <f>+'4 Periodo Cobro-Pago'!$H13*'3 Previsión Ingresos-Gastos'!O44*(1+'Datos iniciales'!$C13)</f>
        <v>6.05</v>
      </c>
      <c r="U47" s="353"/>
      <c r="V47" s="352">
        <f t="shared" si="10"/>
        <v>48.399999999999991</v>
      </c>
      <c r="W47" s="352">
        <f>+SUM(Q47:T47)</f>
        <v>24.2</v>
      </c>
      <c r="X47" s="354"/>
      <c r="Y47" s="352">
        <f>+(('4 Periodo Cobro-Pago'!H13*'3 Previsión Ingresos-Gastos'!S44*(1+'Datos iniciales'!$C13))/12)*8</f>
        <v>72.599999999999994</v>
      </c>
      <c r="Z47" s="352">
        <f>+(Y47/8)*4</f>
        <v>36.299999999999997</v>
      </c>
      <c r="AA47" s="354"/>
      <c r="AB47" s="352">
        <f>+(('4 Periodo Cobro-Pago'!H13*'3 Previsión Ingresos-Gastos'!U44*(1+'Datos iniciales'!$C13))/12)*8</f>
        <v>108.89999999999999</v>
      </c>
      <c r="AC47" s="352">
        <f>+(AB47/8)*4</f>
        <v>54.449999999999996</v>
      </c>
    </row>
    <row r="48" spans="1:30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347"/>
      <c r="Q48" s="348"/>
      <c r="R48" s="163"/>
      <c r="S48" s="163"/>
      <c r="T48" s="163"/>
      <c r="U48" s="165"/>
      <c r="V48" s="349"/>
      <c r="W48" s="163"/>
      <c r="X48" s="355"/>
      <c r="Y48" s="348"/>
      <c r="Z48" s="163"/>
      <c r="AA48" s="355"/>
      <c r="AB48" s="348"/>
      <c r="AC48" s="163"/>
    </row>
    <row r="49" spans="1:30">
      <c r="A49" s="341" t="str">
        <f>+'4 Periodo Cobro-Pago'!B15</f>
        <v>Sueldos y salarios (€)</v>
      </c>
      <c r="B49" s="341" t="str">
        <f>+IF(SUM(E49:T49)='3 Previsión Ingresos-Gastos'!Q52,"OK","REVISAR")</f>
        <v>OK</v>
      </c>
      <c r="C49" s="342"/>
      <c r="D49" s="343"/>
      <c r="E49" s="343">
        <f>+'4 Periodo Cobro-Pago'!$D15*'3 Previsión Ingresos-Gastos'!D52</f>
        <v>100</v>
      </c>
      <c r="F49" s="343">
        <f>+'4 Periodo Cobro-Pago'!$D15*'3 Previsión Ingresos-Gastos'!E52</f>
        <v>100</v>
      </c>
      <c r="G49" s="343">
        <f>+'4 Periodo Cobro-Pago'!$D15*'3 Previsión Ingresos-Gastos'!F52</f>
        <v>100</v>
      </c>
      <c r="H49" s="343">
        <f>+'4 Periodo Cobro-Pago'!$D15*'3 Previsión Ingresos-Gastos'!G52</f>
        <v>100</v>
      </c>
      <c r="I49" s="343">
        <f>+'4 Periodo Cobro-Pago'!$D15*'3 Previsión Ingresos-Gastos'!H52</f>
        <v>100</v>
      </c>
      <c r="J49" s="343">
        <f>+'4 Periodo Cobro-Pago'!$D15*'3 Previsión Ingresos-Gastos'!I52</f>
        <v>100</v>
      </c>
      <c r="K49" s="343">
        <f>+'4 Periodo Cobro-Pago'!$D15*'3 Previsión Ingresos-Gastos'!J52</f>
        <v>100</v>
      </c>
      <c r="L49" s="343">
        <f>+'4 Periodo Cobro-Pago'!$D15*'3 Previsión Ingresos-Gastos'!K52</f>
        <v>100</v>
      </c>
      <c r="M49" s="343">
        <f>+'4 Periodo Cobro-Pago'!$D15*'3 Previsión Ingresos-Gastos'!L52</f>
        <v>100</v>
      </c>
      <c r="N49" s="343">
        <f>+'4 Periodo Cobro-Pago'!$D15*'3 Previsión Ingresos-Gastos'!M52</f>
        <v>100</v>
      </c>
      <c r="O49" s="343">
        <f>+'4 Periodo Cobro-Pago'!$D15*'3 Previsión Ingresos-Gastos'!N52</f>
        <v>100</v>
      </c>
      <c r="P49" s="343">
        <f>+'4 Periodo Cobro-Pago'!$D15*'3 Previsión Ingresos-Gastos'!O52</f>
        <v>100</v>
      </c>
      <c r="Q49" s="343"/>
      <c r="R49" s="343"/>
      <c r="S49" s="343"/>
      <c r="T49" s="343"/>
      <c r="U49" s="344"/>
      <c r="V49" s="343">
        <f>+SUM(D49:P49)</f>
        <v>1200</v>
      </c>
      <c r="W49" s="343"/>
      <c r="X49" s="345"/>
      <c r="Y49" s="343">
        <f>+'4 Periodo Cobro-Pago'!D15*'3 Previsión Ingresos-Gastos'!S52</f>
        <v>1800</v>
      </c>
      <c r="Z49" s="343"/>
      <c r="AA49" s="345" t="str">
        <f>+IF(SUM(Y49:Z49)='3 Previsión Ingresos-Gastos'!S52,"OK","REVISAR")</f>
        <v>OK</v>
      </c>
      <c r="AB49" s="343">
        <f>+'4 Periodo Cobro-Pago'!D15*'3 Previsión Ingresos-Gastos'!U52</f>
        <v>2700</v>
      </c>
      <c r="AC49" s="343"/>
      <c r="AD49" s="346" t="str">
        <f>+IF(SUM(AB49:AC49)='3 Previsión Ingresos-Gastos'!U52,"OK","REVISAR")</f>
        <v>OK</v>
      </c>
    </row>
    <row r="50" spans="1:30" s="164" customFormat="1" ht="12.75">
      <c r="C50" s="328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60"/>
      <c r="Q50" s="361"/>
      <c r="R50" s="349"/>
      <c r="S50" s="349"/>
      <c r="T50" s="349"/>
      <c r="U50" s="358"/>
      <c r="V50" s="349"/>
      <c r="W50" s="349"/>
      <c r="X50" s="362"/>
      <c r="Y50" s="361"/>
      <c r="Z50" s="349"/>
      <c r="AA50" s="362"/>
      <c r="AB50" s="361"/>
      <c r="AC50" s="349"/>
      <c r="AD50" s="327"/>
    </row>
    <row r="51" spans="1:30">
      <c r="A51" s="341" t="str">
        <f>+'4 Periodo Cobro-Pago'!B16</f>
        <v>Seguridad Social (€)</v>
      </c>
      <c r="B51" s="341" t="str">
        <f>+IF(SUM(E51:T51)='3 Previsión Ingresos-Gastos'!Q53,"OK","REVISAR")</f>
        <v>OK</v>
      </c>
      <c r="C51" s="342"/>
      <c r="D51" s="343"/>
      <c r="E51" s="343"/>
      <c r="F51" s="343">
        <f>+'4 Periodo Cobro-Pago'!$E16*'3 Previsión Ingresos-Gastos'!D53</f>
        <v>38</v>
      </c>
      <c r="G51" s="343">
        <f>+'4 Periodo Cobro-Pago'!$E16*'3 Previsión Ingresos-Gastos'!E53</f>
        <v>38</v>
      </c>
      <c r="H51" s="343">
        <f>+'4 Periodo Cobro-Pago'!$E16*'3 Previsión Ingresos-Gastos'!F53</f>
        <v>38</v>
      </c>
      <c r="I51" s="343">
        <f>+'4 Periodo Cobro-Pago'!$E16*'3 Previsión Ingresos-Gastos'!G53</f>
        <v>38</v>
      </c>
      <c r="J51" s="343">
        <f>+'4 Periodo Cobro-Pago'!$E16*'3 Previsión Ingresos-Gastos'!H53</f>
        <v>38</v>
      </c>
      <c r="K51" s="343">
        <f>+'4 Periodo Cobro-Pago'!$E16*'3 Previsión Ingresos-Gastos'!I53</f>
        <v>38</v>
      </c>
      <c r="L51" s="343">
        <f>+'4 Periodo Cobro-Pago'!$E16*'3 Previsión Ingresos-Gastos'!J53</f>
        <v>38</v>
      </c>
      <c r="M51" s="343">
        <f>+'4 Periodo Cobro-Pago'!$E16*'3 Previsión Ingresos-Gastos'!K53</f>
        <v>38</v>
      </c>
      <c r="N51" s="343">
        <f>+'4 Periodo Cobro-Pago'!$E16*'3 Previsión Ingresos-Gastos'!L53</f>
        <v>38</v>
      </c>
      <c r="O51" s="343">
        <f>+'4 Periodo Cobro-Pago'!$E16*'3 Previsión Ingresos-Gastos'!M53</f>
        <v>38</v>
      </c>
      <c r="P51" s="343">
        <f>+'4 Periodo Cobro-Pago'!$E16*'3 Previsión Ingresos-Gastos'!N53</f>
        <v>38</v>
      </c>
      <c r="Q51" s="343">
        <f>+'4 Periodo Cobro-Pago'!$E16*'3 Previsión Ingresos-Gastos'!O53</f>
        <v>38</v>
      </c>
      <c r="R51" s="343"/>
      <c r="S51" s="343"/>
      <c r="T51" s="343"/>
      <c r="U51" s="344"/>
      <c r="V51" s="343">
        <f>+SUM(D51:P51)</f>
        <v>418</v>
      </c>
      <c r="W51" s="343">
        <f>+SUM(Q51:T51)</f>
        <v>38</v>
      </c>
      <c r="X51" s="345"/>
      <c r="Y51" s="343">
        <f>(('4 Periodo Cobro-Pago'!E16*'3 Previsión Ingresos-Gastos'!S53)/12)*11</f>
        <v>627</v>
      </c>
      <c r="Z51" s="343">
        <f>+(Y51/11)</f>
        <v>57</v>
      </c>
      <c r="AA51" s="345" t="str">
        <f>+IF(SUM(Y51:Z51)='3 Previsión Ingresos-Gastos'!S53,"OK","REVISAR")</f>
        <v>OK</v>
      </c>
      <c r="AB51" s="343">
        <f>(('4 Periodo Cobro-Pago'!E16*'3 Previsión Ingresos-Gastos'!U53)/12)*11</f>
        <v>940.5</v>
      </c>
      <c r="AC51" s="343">
        <f>+(AB51/11)</f>
        <v>85.5</v>
      </c>
      <c r="AD51" s="346" t="str">
        <f>+IF(SUM(AB51:AC51)='3 Previsión Ingresos-Gastos'!U53,"OK","REVISAR")</f>
        <v>OK</v>
      </c>
    </row>
    <row r="52" spans="1:30" s="164" customFormat="1" ht="12.75">
      <c r="C52" s="328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60"/>
      <c r="Q52" s="361"/>
      <c r="R52" s="349"/>
      <c r="S52" s="349"/>
      <c r="T52" s="349"/>
      <c r="U52" s="358"/>
      <c r="V52" s="349"/>
      <c r="W52" s="349"/>
      <c r="X52" s="362"/>
      <c r="Y52" s="361"/>
      <c r="Z52" s="349"/>
      <c r="AA52" s="362"/>
      <c r="AB52" s="361"/>
      <c r="AC52" s="349"/>
      <c r="AD52" s="327"/>
    </row>
    <row r="53" spans="1:30">
      <c r="A53" s="341" t="str">
        <f>+'4 Periodo Cobro-Pago'!B17</f>
        <v>Otras variables (€)</v>
      </c>
      <c r="B53" s="341" t="str">
        <f>+IF(SUM(E53:T53)='3 Previsión Ingresos-Gastos'!Q54,"OK","REVISAR")</f>
        <v>OK</v>
      </c>
      <c r="C53" s="342"/>
      <c r="D53" s="343"/>
      <c r="E53" s="343">
        <f>+'4 Periodo Cobro-Pago'!$D17*'3 Previsión Ingresos-Gastos'!D54</f>
        <v>3</v>
      </c>
      <c r="F53" s="343">
        <f>+'4 Periodo Cobro-Pago'!$D17*'3 Previsión Ingresos-Gastos'!E54</f>
        <v>3</v>
      </c>
      <c r="G53" s="343">
        <f>+'4 Periodo Cobro-Pago'!$D17*'3 Previsión Ingresos-Gastos'!F54</f>
        <v>3</v>
      </c>
      <c r="H53" s="343">
        <f>+'4 Periodo Cobro-Pago'!$D17*'3 Previsión Ingresos-Gastos'!G54</f>
        <v>3</v>
      </c>
      <c r="I53" s="343">
        <f>+'4 Periodo Cobro-Pago'!$D17*'3 Previsión Ingresos-Gastos'!H54</f>
        <v>3</v>
      </c>
      <c r="J53" s="343">
        <f>+'4 Periodo Cobro-Pago'!$D17*'3 Previsión Ingresos-Gastos'!I54</f>
        <v>3</v>
      </c>
      <c r="K53" s="343">
        <f>+'4 Periodo Cobro-Pago'!$D17*'3 Previsión Ingresos-Gastos'!J54</f>
        <v>3</v>
      </c>
      <c r="L53" s="343">
        <f>+'4 Periodo Cobro-Pago'!$D17*'3 Previsión Ingresos-Gastos'!K54</f>
        <v>3</v>
      </c>
      <c r="M53" s="343">
        <f>+'4 Periodo Cobro-Pago'!$D17*'3 Previsión Ingresos-Gastos'!L54</f>
        <v>3</v>
      </c>
      <c r="N53" s="343">
        <f>+'4 Periodo Cobro-Pago'!$D17*'3 Previsión Ingresos-Gastos'!M54</f>
        <v>3</v>
      </c>
      <c r="O53" s="343">
        <f>+'4 Periodo Cobro-Pago'!$D17*'3 Previsión Ingresos-Gastos'!N54</f>
        <v>3</v>
      </c>
      <c r="P53" s="343">
        <f>+'4 Periodo Cobro-Pago'!$D17*'3 Previsión Ingresos-Gastos'!O54</f>
        <v>3</v>
      </c>
      <c r="Q53" s="343"/>
      <c r="R53" s="343"/>
      <c r="S53" s="343"/>
      <c r="T53" s="343"/>
      <c r="U53" s="344"/>
      <c r="V53" s="343">
        <f>+SUM(D53:P53)</f>
        <v>36</v>
      </c>
      <c r="W53" s="343"/>
      <c r="X53" s="345"/>
      <c r="Y53" s="343">
        <f>+'4 Periodo Cobro-Pago'!D17*'3 Previsión Ingresos-Gastos'!S54</f>
        <v>54</v>
      </c>
      <c r="Z53" s="343"/>
      <c r="AA53" s="345" t="str">
        <f>+IF(SUM(Y53:Z53)='3 Previsión Ingresos-Gastos'!S54,"OK","REVISAR")</f>
        <v>OK</v>
      </c>
      <c r="AB53" s="343">
        <f>+'4 Periodo Cobro-Pago'!D17*'3 Previsión Ingresos-Gastos'!U54</f>
        <v>81</v>
      </c>
      <c r="AC53" s="343"/>
      <c r="AD53" s="346" t="str">
        <f>+IF(SUM(AB53:AC53)='3 Previsión Ingresos-Gastos'!U54,"OK","REVISAR")</f>
        <v>OK</v>
      </c>
    </row>
    <row r="54" spans="1:30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347"/>
      <c r="Q54" s="348"/>
      <c r="R54" s="163"/>
      <c r="S54" s="163"/>
      <c r="T54" s="163"/>
      <c r="U54" s="165"/>
      <c r="V54" s="349"/>
      <c r="W54" s="163"/>
      <c r="X54" s="355"/>
      <c r="Y54" s="348"/>
      <c r="Z54" s="163"/>
      <c r="AA54" s="355"/>
      <c r="AB54" s="361"/>
      <c r="AC54" s="163"/>
    </row>
    <row r="55" spans="1:30">
      <c r="A55" s="341" t="str">
        <f>+'4 Periodo Cobro-Pago'!B19</f>
        <v>Alquileres y cánones (€)</v>
      </c>
      <c r="B55" s="341" t="str">
        <f>+IF(SUM(E55:T55)='3 Previsión Ingresos-Gastos'!Q58*(1+'Datos iniciales'!$C13),"OK","REVISAR")</f>
        <v>OK</v>
      </c>
      <c r="C55" s="342"/>
      <c r="D55" s="343"/>
      <c r="E55" s="343">
        <f>+'4 Periodo Cobro-Pago'!$D19*'3 Previsión Ingresos-Gastos'!D58*(1+'Datos iniciales'!$C13)</f>
        <v>60.5</v>
      </c>
      <c r="F55" s="343">
        <f>+'4 Periodo Cobro-Pago'!$D19*'3 Previsión Ingresos-Gastos'!E58*(1+'Datos iniciales'!$C13)</f>
        <v>60.5</v>
      </c>
      <c r="G55" s="343">
        <f>+'4 Periodo Cobro-Pago'!$D19*'3 Previsión Ingresos-Gastos'!F58*(1+'Datos iniciales'!$C13)</f>
        <v>60.5</v>
      </c>
      <c r="H55" s="343">
        <f>+'4 Periodo Cobro-Pago'!$D19*'3 Previsión Ingresos-Gastos'!G58*(1+'Datos iniciales'!$C13)</f>
        <v>60.5</v>
      </c>
      <c r="I55" s="343">
        <f>+'4 Periodo Cobro-Pago'!$D19*'3 Previsión Ingresos-Gastos'!H58*(1+'Datos iniciales'!$C13)</f>
        <v>60.5</v>
      </c>
      <c r="J55" s="343">
        <f>+'4 Periodo Cobro-Pago'!$D19*'3 Previsión Ingresos-Gastos'!I58*(1+'Datos iniciales'!$C13)</f>
        <v>60.5</v>
      </c>
      <c r="K55" s="343">
        <f>+'4 Periodo Cobro-Pago'!$D19*'3 Previsión Ingresos-Gastos'!J58*(1+'Datos iniciales'!$C13)</f>
        <v>60.5</v>
      </c>
      <c r="L55" s="343">
        <f>+'4 Periodo Cobro-Pago'!$D19*'3 Previsión Ingresos-Gastos'!K58*(1+'Datos iniciales'!$C13)</f>
        <v>60.5</v>
      </c>
      <c r="M55" s="343">
        <f>+'4 Periodo Cobro-Pago'!$D19*'3 Previsión Ingresos-Gastos'!L58*(1+'Datos iniciales'!$C13)</f>
        <v>60.5</v>
      </c>
      <c r="N55" s="343">
        <f>+'4 Periodo Cobro-Pago'!$D19*'3 Previsión Ingresos-Gastos'!M58*(1+'Datos iniciales'!$C13)</f>
        <v>60.5</v>
      </c>
      <c r="O55" s="343">
        <f>+'4 Periodo Cobro-Pago'!$D19*'3 Previsión Ingresos-Gastos'!N58*(1+'Datos iniciales'!$C13)</f>
        <v>60.5</v>
      </c>
      <c r="P55" s="343">
        <f>+'4 Periodo Cobro-Pago'!$D19*'3 Previsión Ingresos-Gastos'!O58*(1+'Datos iniciales'!$C13)</f>
        <v>60.5</v>
      </c>
      <c r="Q55" s="343"/>
      <c r="R55" s="343"/>
      <c r="S55" s="343"/>
      <c r="T55" s="343"/>
      <c r="U55" s="344"/>
      <c r="V55" s="343">
        <f>+SUM(D55:P55)</f>
        <v>726</v>
      </c>
      <c r="W55" s="343"/>
      <c r="X55" s="345"/>
      <c r="Y55" s="343">
        <f>+'4 Periodo Cobro-Pago'!D19*'3 Previsión Ingresos-Gastos'!S58*(1+'Datos iniciales'!$C13)</f>
        <v>1089</v>
      </c>
      <c r="Z55" s="343"/>
      <c r="AA55" s="345" t="str">
        <f>+IF(SUM(Y55:Z55)='3 Previsión Ingresos-Gastos'!S58*(1+'Datos iniciales'!$C13),"OK","REVISAR")</f>
        <v>OK</v>
      </c>
      <c r="AB55" s="343">
        <f>+'4 Periodo Cobro-Pago'!D19*'3 Previsión Ingresos-Gastos'!U58*(1+'Datos iniciales'!$C13)</f>
        <v>1633.5</v>
      </c>
      <c r="AC55" s="343"/>
      <c r="AD55" s="346" t="str">
        <f>+IF(SUM(AB55:AC55)='3 Previsión Ingresos-Gastos'!U58*(1+'Datos iniciales'!$C13),"OK","REVISAR")</f>
        <v>OK</v>
      </c>
    </row>
    <row r="56" spans="1:30" s="164" customFormat="1" ht="12.75">
      <c r="C56" s="328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60"/>
      <c r="Q56" s="361"/>
      <c r="R56" s="349"/>
      <c r="S56" s="349"/>
      <c r="T56" s="349"/>
      <c r="U56" s="358"/>
      <c r="V56" s="349"/>
      <c r="W56" s="349"/>
      <c r="X56" s="362"/>
      <c r="Y56" s="361"/>
      <c r="Z56" s="349"/>
      <c r="AA56" s="362"/>
      <c r="AB56" s="361"/>
      <c r="AC56" s="349"/>
      <c r="AD56" s="327"/>
    </row>
    <row r="57" spans="1:30">
      <c r="A57" s="341" t="str">
        <f>+'4 Periodo Cobro-Pago'!B20</f>
        <v>Reparación y conservación (€)</v>
      </c>
      <c r="B57" s="341" t="str">
        <f>+IF(SUM(E57:T57)='3 Previsión Ingresos-Gastos'!Q59*(1+'Datos iniciales'!$C13),"OK","REVISAR")</f>
        <v>OK</v>
      </c>
      <c r="C57" s="342"/>
      <c r="D57" s="343">
        <f t="shared" ref="D57:AC57" si="11">+SUM(D58:D62)</f>
        <v>0</v>
      </c>
      <c r="E57" s="343">
        <f t="shared" si="11"/>
        <v>2.42</v>
      </c>
      <c r="F57" s="343">
        <f t="shared" si="11"/>
        <v>4.84</v>
      </c>
      <c r="G57" s="343">
        <f t="shared" si="11"/>
        <v>7.26</v>
      </c>
      <c r="H57" s="343">
        <f t="shared" si="11"/>
        <v>9.68</v>
      </c>
      <c r="I57" s="343">
        <f t="shared" si="11"/>
        <v>12.1</v>
      </c>
      <c r="J57" s="343">
        <f t="shared" si="11"/>
        <v>12.1</v>
      </c>
      <c r="K57" s="343">
        <f t="shared" si="11"/>
        <v>12.1</v>
      </c>
      <c r="L57" s="343">
        <f t="shared" si="11"/>
        <v>12.1</v>
      </c>
      <c r="M57" s="343">
        <f t="shared" si="11"/>
        <v>12.1</v>
      </c>
      <c r="N57" s="343">
        <f t="shared" si="11"/>
        <v>12.1</v>
      </c>
      <c r="O57" s="343">
        <f t="shared" si="11"/>
        <v>12.1</v>
      </c>
      <c r="P57" s="343">
        <f t="shared" si="11"/>
        <v>12.1</v>
      </c>
      <c r="Q57" s="343">
        <f t="shared" si="11"/>
        <v>9.68</v>
      </c>
      <c r="R57" s="343">
        <f t="shared" si="11"/>
        <v>7.26</v>
      </c>
      <c r="S57" s="343">
        <f t="shared" si="11"/>
        <v>4.84</v>
      </c>
      <c r="T57" s="343">
        <f t="shared" si="11"/>
        <v>2.42</v>
      </c>
      <c r="U57" s="344"/>
      <c r="V57" s="343">
        <f t="shared" ref="V57:V62" si="12">+SUM(D57:P57)</f>
        <v>120.99999999999997</v>
      </c>
      <c r="W57" s="343">
        <f>+SUM(W58:W62)</f>
        <v>24.2</v>
      </c>
      <c r="X57" s="345"/>
      <c r="Y57" s="343">
        <f t="shared" si="11"/>
        <v>181.50000000000003</v>
      </c>
      <c r="Z57" s="343">
        <f t="shared" si="11"/>
        <v>36.300000000000004</v>
      </c>
      <c r="AA57" s="345" t="str">
        <f>+IF(SUM(Y57:Z57)='3 Previsión Ingresos-Gastos'!S59*(1+'Datos iniciales'!$C13),"OK","REVISAR")</f>
        <v>OK</v>
      </c>
      <c r="AB57" s="343">
        <f t="shared" si="11"/>
        <v>272.25</v>
      </c>
      <c r="AC57" s="343">
        <f t="shared" si="11"/>
        <v>54.45</v>
      </c>
      <c r="AD57" s="346" t="str">
        <f>+IF(SUM(AB57:AC57)='3 Previsión Ingresos-Gastos'!U59*(1+'Datos iniciales'!$C13),"OK","REVISAR")</f>
        <v>OK</v>
      </c>
    </row>
    <row r="58" spans="1:30" ht="14.25" thickBot="1">
      <c r="A58" s="351" t="str">
        <f>+A43</f>
        <v>Contado</v>
      </c>
      <c r="D58" s="352"/>
      <c r="E58" s="352">
        <f>+'4 Periodo Cobro-Pago'!$D20*'3 Previsión Ingresos-Gastos'!D59*(1+'Datos iniciales'!$C13)</f>
        <v>2.42</v>
      </c>
      <c r="F58" s="352">
        <f>+'4 Periodo Cobro-Pago'!$D20*'3 Previsión Ingresos-Gastos'!E59*(1+'Datos iniciales'!$C13)</f>
        <v>2.42</v>
      </c>
      <c r="G58" s="352">
        <f>+'4 Periodo Cobro-Pago'!$D20*'3 Previsión Ingresos-Gastos'!F59*(1+'Datos iniciales'!$C13)</f>
        <v>2.42</v>
      </c>
      <c r="H58" s="352">
        <f>+'4 Periodo Cobro-Pago'!$D20*'3 Previsión Ingresos-Gastos'!G59*(1+'Datos iniciales'!$C13)</f>
        <v>2.42</v>
      </c>
      <c r="I58" s="352">
        <f>+'4 Periodo Cobro-Pago'!$D20*'3 Previsión Ingresos-Gastos'!H59*(1+'Datos iniciales'!$C13)</f>
        <v>2.42</v>
      </c>
      <c r="J58" s="352">
        <f>+'4 Periodo Cobro-Pago'!$D20*'3 Previsión Ingresos-Gastos'!I59*(1+'Datos iniciales'!$C13)</f>
        <v>2.42</v>
      </c>
      <c r="K58" s="352">
        <f>+'4 Periodo Cobro-Pago'!$D20*'3 Previsión Ingresos-Gastos'!J59*(1+'Datos iniciales'!$C13)</f>
        <v>2.42</v>
      </c>
      <c r="L58" s="352">
        <f>+'4 Periodo Cobro-Pago'!$D20*'3 Previsión Ingresos-Gastos'!K59*(1+'Datos iniciales'!$C13)</f>
        <v>2.42</v>
      </c>
      <c r="M58" s="352">
        <f>+'4 Periodo Cobro-Pago'!$D20*'3 Previsión Ingresos-Gastos'!L59*(1+'Datos iniciales'!$C13)</f>
        <v>2.42</v>
      </c>
      <c r="N58" s="352">
        <f>+'4 Periodo Cobro-Pago'!$D20*'3 Previsión Ingresos-Gastos'!M59*(1+'Datos iniciales'!$C13)</f>
        <v>2.42</v>
      </c>
      <c r="O58" s="352">
        <f>+'4 Periodo Cobro-Pago'!$D20*'3 Previsión Ingresos-Gastos'!N59*(1+'Datos iniciales'!$C13)</f>
        <v>2.42</v>
      </c>
      <c r="P58" s="352">
        <f>+'4 Periodo Cobro-Pago'!$D20*'3 Previsión Ingresos-Gastos'!O59*(1+'Datos iniciales'!$C13)</f>
        <v>2.42</v>
      </c>
      <c r="Q58" s="352"/>
      <c r="R58" s="352"/>
      <c r="S58" s="352"/>
      <c r="T58" s="352"/>
      <c r="U58" s="353"/>
      <c r="V58" s="352">
        <f t="shared" si="12"/>
        <v>29.040000000000006</v>
      </c>
      <c r="W58" s="352">
        <f>+SUM(Q58:T58)</f>
        <v>0</v>
      </c>
      <c r="X58" s="354"/>
      <c r="Y58" s="352">
        <f>+'4 Periodo Cobro-Pago'!D20*'3 Previsión Ingresos-Gastos'!S59*(1+'Datos iniciales'!$C13)</f>
        <v>43.56</v>
      </c>
      <c r="Z58" s="352"/>
      <c r="AA58" s="354"/>
      <c r="AB58" s="352">
        <f>+'4 Periodo Cobro-Pago'!D20*'3 Previsión Ingresos-Gastos'!U59*(1+'Datos iniciales'!$C13)</f>
        <v>65.34</v>
      </c>
      <c r="AC58" s="352"/>
    </row>
    <row r="59" spans="1:30" ht="14.25" thickBot="1">
      <c r="A59" s="351" t="str">
        <f>+A44</f>
        <v>a 30 días</v>
      </c>
      <c r="D59" s="352"/>
      <c r="E59" s="352"/>
      <c r="F59" s="352">
        <f>+'4 Periodo Cobro-Pago'!$E20*'3 Previsión Ingresos-Gastos'!D59*(1+'Datos iniciales'!$C13)</f>
        <v>2.42</v>
      </c>
      <c r="G59" s="352">
        <f>+'4 Periodo Cobro-Pago'!$E20*'3 Previsión Ingresos-Gastos'!E59*(1+'Datos iniciales'!$C13)</f>
        <v>2.42</v>
      </c>
      <c r="H59" s="352">
        <f>+'4 Periodo Cobro-Pago'!$E20*'3 Previsión Ingresos-Gastos'!F59*(1+'Datos iniciales'!$C13)</f>
        <v>2.42</v>
      </c>
      <c r="I59" s="352">
        <f>+'4 Periodo Cobro-Pago'!$E20*'3 Previsión Ingresos-Gastos'!G59*(1+'Datos iniciales'!$C13)</f>
        <v>2.42</v>
      </c>
      <c r="J59" s="352">
        <f>+'4 Periodo Cobro-Pago'!$E20*'3 Previsión Ingresos-Gastos'!H59*(1+'Datos iniciales'!$C13)</f>
        <v>2.42</v>
      </c>
      <c r="K59" s="352">
        <f>+'4 Periodo Cobro-Pago'!$E20*'3 Previsión Ingresos-Gastos'!I59*(1+'Datos iniciales'!$C13)</f>
        <v>2.42</v>
      </c>
      <c r="L59" s="352">
        <f>+'4 Periodo Cobro-Pago'!$E20*'3 Previsión Ingresos-Gastos'!J59*(1+'Datos iniciales'!$C13)</f>
        <v>2.42</v>
      </c>
      <c r="M59" s="352">
        <f>+'4 Periodo Cobro-Pago'!$E20*'3 Previsión Ingresos-Gastos'!K59*(1+'Datos iniciales'!$C13)</f>
        <v>2.42</v>
      </c>
      <c r="N59" s="352">
        <f>+'4 Periodo Cobro-Pago'!$E20*'3 Previsión Ingresos-Gastos'!L59*(1+'Datos iniciales'!$C13)</f>
        <v>2.42</v>
      </c>
      <c r="O59" s="352">
        <f>+'4 Periodo Cobro-Pago'!$E20*'3 Previsión Ingresos-Gastos'!M59*(1+'Datos iniciales'!$C13)</f>
        <v>2.42</v>
      </c>
      <c r="P59" s="352">
        <f>+'4 Periodo Cobro-Pago'!$E20*'3 Previsión Ingresos-Gastos'!N59*(1+'Datos iniciales'!$C13)</f>
        <v>2.42</v>
      </c>
      <c r="Q59" s="352">
        <f>+'4 Periodo Cobro-Pago'!$E20*'3 Previsión Ingresos-Gastos'!O59*(1+'Datos iniciales'!$C13)</f>
        <v>2.42</v>
      </c>
      <c r="R59" s="352"/>
      <c r="S59" s="352"/>
      <c r="T59" s="352"/>
      <c r="U59" s="353"/>
      <c r="V59" s="352">
        <f t="shared" si="12"/>
        <v>26.620000000000005</v>
      </c>
      <c r="W59" s="352">
        <f>+SUM(Q59:T59)</f>
        <v>2.42</v>
      </c>
      <c r="X59" s="354"/>
      <c r="Y59" s="352">
        <f>+(('4 Periodo Cobro-Pago'!E20*'3 Previsión Ingresos-Gastos'!S59*(1+'Datos iniciales'!$C13))/12)*11</f>
        <v>39.930000000000007</v>
      </c>
      <c r="Z59" s="352">
        <f>+(Y59/11)</f>
        <v>3.6300000000000008</v>
      </c>
      <c r="AA59" s="354"/>
      <c r="AB59" s="352">
        <f>+(('4 Periodo Cobro-Pago'!E20*'3 Previsión Ingresos-Gastos'!U59*(1+'Datos iniciales'!$C13))/12)*11</f>
        <v>59.895000000000003</v>
      </c>
      <c r="AC59" s="352">
        <f>+(AB59/11)</f>
        <v>5.4450000000000003</v>
      </c>
    </row>
    <row r="60" spans="1:30" ht="14.25" thickBot="1">
      <c r="A60" s="351" t="str">
        <f>+A45</f>
        <v>a 60 días</v>
      </c>
      <c r="D60" s="352"/>
      <c r="E60" s="352"/>
      <c r="F60" s="352"/>
      <c r="G60" s="352">
        <f>+'4 Periodo Cobro-Pago'!$F20*'3 Previsión Ingresos-Gastos'!D59*(1+'Datos iniciales'!$C13)</f>
        <v>2.42</v>
      </c>
      <c r="H60" s="352">
        <f>+'4 Periodo Cobro-Pago'!$F20*'3 Previsión Ingresos-Gastos'!E59*(1+'Datos iniciales'!$C13)</f>
        <v>2.42</v>
      </c>
      <c r="I60" s="352">
        <f>+'4 Periodo Cobro-Pago'!$F20*'3 Previsión Ingresos-Gastos'!F59*(1+'Datos iniciales'!$C13)</f>
        <v>2.42</v>
      </c>
      <c r="J60" s="352">
        <f>+'4 Periodo Cobro-Pago'!$F20*'3 Previsión Ingresos-Gastos'!G59*(1+'Datos iniciales'!$C13)</f>
        <v>2.42</v>
      </c>
      <c r="K60" s="352">
        <f>+'4 Periodo Cobro-Pago'!$F20*'3 Previsión Ingresos-Gastos'!H59*(1+'Datos iniciales'!$C13)</f>
        <v>2.42</v>
      </c>
      <c r="L60" s="352">
        <f>+'4 Periodo Cobro-Pago'!$F20*'3 Previsión Ingresos-Gastos'!I59*(1+'Datos iniciales'!$C13)</f>
        <v>2.42</v>
      </c>
      <c r="M60" s="352">
        <f>+'4 Periodo Cobro-Pago'!$F20*'3 Previsión Ingresos-Gastos'!J59*(1+'Datos iniciales'!$C13)</f>
        <v>2.42</v>
      </c>
      <c r="N60" s="352">
        <f>+'4 Periodo Cobro-Pago'!$F20*'3 Previsión Ingresos-Gastos'!K59*(1+'Datos iniciales'!$C13)</f>
        <v>2.42</v>
      </c>
      <c r="O60" s="352">
        <f>+'4 Periodo Cobro-Pago'!$F20*'3 Previsión Ingresos-Gastos'!L59*(1+'Datos iniciales'!$C13)</f>
        <v>2.42</v>
      </c>
      <c r="P60" s="352">
        <f>+'4 Periodo Cobro-Pago'!$F20*'3 Previsión Ingresos-Gastos'!M59*(1+'Datos iniciales'!$C13)</f>
        <v>2.42</v>
      </c>
      <c r="Q60" s="352">
        <f>+'4 Periodo Cobro-Pago'!$F20*'3 Previsión Ingresos-Gastos'!N59*(1+'Datos iniciales'!$C13)</f>
        <v>2.42</v>
      </c>
      <c r="R60" s="352">
        <f>+'4 Periodo Cobro-Pago'!$F20*'3 Previsión Ingresos-Gastos'!O59*(1+'Datos iniciales'!$C13)</f>
        <v>2.42</v>
      </c>
      <c r="S60" s="352"/>
      <c r="T60" s="352"/>
      <c r="U60" s="353"/>
      <c r="V60" s="352">
        <f t="shared" si="12"/>
        <v>24.200000000000003</v>
      </c>
      <c r="W60" s="352">
        <f>+SUM(Q60:T60)</f>
        <v>4.84</v>
      </c>
      <c r="X60" s="354"/>
      <c r="Y60" s="352">
        <f>+(('4 Periodo Cobro-Pago'!F20*'3 Previsión Ingresos-Gastos'!S59*(1+'Datos iniciales'!$C13))/12)*10</f>
        <v>36.300000000000004</v>
      </c>
      <c r="Z60" s="352">
        <f>+(Y60/10)*2</f>
        <v>7.2600000000000007</v>
      </c>
      <c r="AA60" s="354"/>
      <c r="AB60" s="352">
        <f>+(('4 Periodo Cobro-Pago'!F20*'3 Previsión Ingresos-Gastos'!U59*(1+'Datos iniciales'!$C13))/12)*10</f>
        <v>54.45</v>
      </c>
      <c r="AC60" s="352">
        <f>+(AB60/10)*2</f>
        <v>10.89</v>
      </c>
    </row>
    <row r="61" spans="1:30" ht="14.25" thickBot="1">
      <c r="A61" s="351" t="str">
        <f>+A46</f>
        <v>a 90 días</v>
      </c>
      <c r="D61" s="352"/>
      <c r="E61" s="352"/>
      <c r="F61" s="352"/>
      <c r="G61" s="352"/>
      <c r="H61" s="352">
        <f>+'4 Periodo Cobro-Pago'!$G20*'3 Previsión Ingresos-Gastos'!D59*(1+'Datos iniciales'!$C13)</f>
        <v>2.42</v>
      </c>
      <c r="I61" s="352">
        <f>+'4 Periodo Cobro-Pago'!$G20*'3 Previsión Ingresos-Gastos'!E59*(1+'Datos iniciales'!$C13)</f>
        <v>2.42</v>
      </c>
      <c r="J61" s="352">
        <f>+'4 Periodo Cobro-Pago'!$G20*'3 Previsión Ingresos-Gastos'!F59*(1+'Datos iniciales'!$C13)</f>
        <v>2.42</v>
      </c>
      <c r="K61" s="352">
        <f>+'4 Periodo Cobro-Pago'!$G20*'3 Previsión Ingresos-Gastos'!G59*(1+'Datos iniciales'!$C13)</f>
        <v>2.42</v>
      </c>
      <c r="L61" s="352">
        <f>+'4 Periodo Cobro-Pago'!$G20*'3 Previsión Ingresos-Gastos'!H59*(1+'Datos iniciales'!$C13)</f>
        <v>2.42</v>
      </c>
      <c r="M61" s="352">
        <f>+'4 Periodo Cobro-Pago'!$G20*'3 Previsión Ingresos-Gastos'!I59*(1+'Datos iniciales'!$C13)</f>
        <v>2.42</v>
      </c>
      <c r="N61" s="352">
        <f>+'4 Periodo Cobro-Pago'!$G20*'3 Previsión Ingresos-Gastos'!J59*(1+'Datos iniciales'!$C13)</f>
        <v>2.42</v>
      </c>
      <c r="O61" s="352">
        <f>+'4 Periodo Cobro-Pago'!$G20*'3 Previsión Ingresos-Gastos'!K59*(1+'Datos iniciales'!$C13)</f>
        <v>2.42</v>
      </c>
      <c r="P61" s="352">
        <f>+'4 Periodo Cobro-Pago'!$G20*'3 Previsión Ingresos-Gastos'!L59*(1+'Datos iniciales'!$C13)</f>
        <v>2.42</v>
      </c>
      <c r="Q61" s="352">
        <f>+'4 Periodo Cobro-Pago'!$G20*'3 Previsión Ingresos-Gastos'!M59*(1+'Datos iniciales'!$C13)</f>
        <v>2.42</v>
      </c>
      <c r="R61" s="352">
        <f>+'4 Periodo Cobro-Pago'!$G20*'3 Previsión Ingresos-Gastos'!N59*(1+'Datos iniciales'!$C13)</f>
        <v>2.42</v>
      </c>
      <c r="S61" s="352">
        <f>+'4 Periodo Cobro-Pago'!$G20*'3 Previsión Ingresos-Gastos'!O59*(1+'Datos iniciales'!$C13)</f>
        <v>2.42</v>
      </c>
      <c r="T61" s="352"/>
      <c r="U61" s="353"/>
      <c r="V61" s="352">
        <f t="shared" si="12"/>
        <v>21.78</v>
      </c>
      <c r="W61" s="352">
        <f>+SUM(Q61:T61)</f>
        <v>7.26</v>
      </c>
      <c r="X61" s="354"/>
      <c r="Y61" s="352">
        <f>+(('4 Periodo Cobro-Pago'!G20*'3 Previsión Ingresos-Gastos'!S59*(1+'Datos iniciales'!$C13))/12)*9</f>
        <v>32.67</v>
      </c>
      <c r="Z61" s="352">
        <f>+(Y61/9)*3</f>
        <v>10.89</v>
      </c>
      <c r="AA61" s="354"/>
      <c r="AB61" s="352">
        <f>+(('4 Periodo Cobro-Pago'!G20*'3 Previsión Ingresos-Gastos'!U59*(1+'Datos iniciales'!$C13))/12)*9</f>
        <v>49.005000000000003</v>
      </c>
      <c r="AC61" s="352">
        <f>+(AB61/9)*3</f>
        <v>16.335000000000001</v>
      </c>
    </row>
    <row r="62" spans="1:30" ht="14.25" thickBot="1">
      <c r="A62" s="351" t="str">
        <f>+A47</f>
        <v>a 120 días</v>
      </c>
      <c r="D62" s="352"/>
      <c r="E62" s="352"/>
      <c r="F62" s="352"/>
      <c r="G62" s="352"/>
      <c r="H62" s="352"/>
      <c r="I62" s="352">
        <f>+'4 Periodo Cobro-Pago'!$H20*'3 Previsión Ingresos-Gastos'!D59*(1+'Datos iniciales'!$C13)</f>
        <v>2.42</v>
      </c>
      <c r="J62" s="352">
        <f>+'4 Periodo Cobro-Pago'!$H20*'3 Previsión Ingresos-Gastos'!E59*(1+'Datos iniciales'!$C13)</f>
        <v>2.42</v>
      </c>
      <c r="K62" s="352">
        <f>+'4 Periodo Cobro-Pago'!$H20*'3 Previsión Ingresos-Gastos'!F59*(1+'Datos iniciales'!$C13)</f>
        <v>2.42</v>
      </c>
      <c r="L62" s="352">
        <f>+'4 Periodo Cobro-Pago'!$H20*'3 Previsión Ingresos-Gastos'!G59*(1+'Datos iniciales'!$C13)</f>
        <v>2.42</v>
      </c>
      <c r="M62" s="352">
        <f>+'4 Periodo Cobro-Pago'!$H20*'3 Previsión Ingresos-Gastos'!H59*(1+'Datos iniciales'!$C13)</f>
        <v>2.42</v>
      </c>
      <c r="N62" s="352">
        <f>+'4 Periodo Cobro-Pago'!$H20*'3 Previsión Ingresos-Gastos'!I59*(1+'Datos iniciales'!$C13)</f>
        <v>2.42</v>
      </c>
      <c r="O62" s="352">
        <f>+'4 Periodo Cobro-Pago'!$H20*'3 Previsión Ingresos-Gastos'!J59*(1+'Datos iniciales'!$C13)</f>
        <v>2.42</v>
      </c>
      <c r="P62" s="352">
        <f>+'4 Periodo Cobro-Pago'!$H20*'3 Previsión Ingresos-Gastos'!K59*(1+'Datos iniciales'!$C13)</f>
        <v>2.42</v>
      </c>
      <c r="Q62" s="352">
        <f>+'4 Periodo Cobro-Pago'!$H20*'3 Previsión Ingresos-Gastos'!L59*(1+'Datos iniciales'!$C13)</f>
        <v>2.42</v>
      </c>
      <c r="R62" s="352">
        <f>+'4 Periodo Cobro-Pago'!$H20*'3 Previsión Ingresos-Gastos'!M59*(1+'Datos iniciales'!$C13)</f>
        <v>2.42</v>
      </c>
      <c r="S62" s="352">
        <f>+'4 Periodo Cobro-Pago'!$H20*'3 Previsión Ingresos-Gastos'!N59*(1+'Datos iniciales'!$C13)</f>
        <v>2.42</v>
      </c>
      <c r="T62" s="352">
        <f>+'4 Periodo Cobro-Pago'!$H20*'3 Previsión Ingresos-Gastos'!O59*(1+'Datos iniciales'!$C13)</f>
        <v>2.42</v>
      </c>
      <c r="U62" s="353"/>
      <c r="V62" s="352">
        <f t="shared" si="12"/>
        <v>19.36</v>
      </c>
      <c r="W62" s="352">
        <f>+SUM(Q62:T62)</f>
        <v>9.68</v>
      </c>
      <c r="X62" s="354"/>
      <c r="Y62" s="352">
        <f>+(('4 Periodo Cobro-Pago'!H20*'3 Previsión Ingresos-Gastos'!S59*(1+'Datos iniciales'!$C13))/12)*8</f>
        <v>29.040000000000003</v>
      </c>
      <c r="Z62" s="352">
        <f>+(Y62/8)*4</f>
        <v>14.520000000000001</v>
      </c>
      <c r="AA62" s="354"/>
      <c r="AB62" s="352">
        <f>+(('4 Periodo Cobro-Pago'!H20*'3 Previsión Ingresos-Gastos'!U59*(1+'Datos iniciales'!$C13))/12)*8</f>
        <v>43.56</v>
      </c>
      <c r="AC62" s="352">
        <f>+(AB62/8)*4</f>
        <v>21.78</v>
      </c>
    </row>
    <row r="63" spans="1:30"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347"/>
      <c r="Q63" s="348"/>
      <c r="R63" s="163"/>
      <c r="S63" s="163"/>
      <c r="T63" s="163"/>
      <c r="U63" s="165"/>
      <c r="V63" s="349"/>
      <c r="W63" s="163"/>
      <c r="X63" s="355"/>
      <c r="Y63" s="348"/>
      <c r="Z63" s="163"/>
      <c r="AA63" s="355"/>
      <c r="AB63" s="348"/>
      <c r="AC63" s="163"/>
    </row>
    <row r="64" spans="1:30">
      <c r="A64" s="341" t="str">
        <f>+'4 Periodo Cobro-Pago'!B21</f>
        <v>Profesionales independientes (€)</v>
      </c>
      <c r="B64" s="341" t="str">
        <f>+IF(SUM(E64:T64)='3 Previsión Ingresos-Gastos'!Q60*(1+'Datos iniciales'!$C13),"OK","REVISAR")</f>
        <v>OK</v>
      </c>
      <c r="C64" s="342"/>
      <c r="D64" s="343">
        <f t="shared" ref="D64:T64" si="13">+SUM(D65:D69)</f>
        <v>0</v>
      </c>
      <c r="E64" s="343">
        <f t="shared" si="13"/>
        <v>7.26</v>
      </c>
      <c r="F64" s="343">
        <f t="shared" si="13"/>
        <v>14.52</v>
      </c>
      <c r="G64" s="343">
        <f t="shared" si="13"/>
        <v>21.78</v>
      </c>
      <c r="H64" s="343">
        <f t="shared" si="13"/>
        <v>29.04</v>
      </c>
      <c r="I64" s="343">
        <f t="shared" si="13"/>
        <v>36.299999999999997</v>
      </c>
      <c r="J64" s="343">
        <f t="shared" si="13"/>
        <v>36.299999999999997</v>
      </c>
      <c r="K64" s="343">
        <f t="shared" si="13"/>
        <v>36.299999999999997</v>
      </c>
      <c r="L64" s="343">
        <f t="shared" si="13"/>
        <v>36.299999999999997</v>
      </c>
      <c r="M64" s="343">
        <f t="shared" si="13"/>
        <v>36.299999999999997</v>
      </c>
      <c r="N64" s="343">
        <f t="shared" si="13"/>
        <v>36.299999999999997</v>
      </c>
      <c r="O64" s="343">
        <f t="shared" si="13"/>
        <v>36.299999999999997</v>
      </c>
      <c r="P64" s="343">
        <f t="shared" si="13"/>
        <v>36.299999999999997</v>
      </c>
      <c r="Q64" s="343">
        <f t="shared" si="13"/>
        <v>29.04</v>
      </c>
      <c r="R64" s="343">
        <f t="shared" si="13"/>
        <v>21.78</v>
      </c>
      <c r="S64" s="343">
        <f t="shared" si="13"/>
        <v>14.52</v>
      </c>
      <c r="T64" s="343">
        <f t="shared" si="13"/>
        <v>7.26</v>
      </c>
      <c r="U64" s="344"/>
      <c r="V64" s="343">
        <f t="shared" ref="V64:V69" si="14">+SUM(D64:P64)</f>
        <v>363.00000000000006</v>
      </c>
      <c r="W64" s="343">
        <f>+SUM(W65:W69)</f>
        <v>72.599999999999994</v>
      </c>
      <c r="X64" s="345"/>
      <c r="Y64" s="343">
        <f>+SUM(Y65:Y69)</f>
        <v>544.5</v>
      </c>
      <c r="Z64" s="343">
        <f>+SUM(Z65:Z69)</f>
        <v>108.9</v>
      </c>
      <c r="AA64" s="345" t="str">
        <f>+IF(SUM(Y64:Z64)='3 Previsión Ingresos-Gastos'!S60*(1+'Datos iniciales'!$C13),"OK","REVISAR")</f>
        <v>OK</v>
      </c>
      <c r="AB64" s="343">
        <f>+SUM(AB65:AB69)</f>
        <v>816.74999999999977</v>
      </c>
      <c r="AC64" s="343">
        <f>+SUM(AC65:AC69)</f>
        <v>163.34999999999997</v>
      </c>
      <c r="AD64" s="346" t="str">
        <f>+IF(SUM(AB64:AC64)='3 Previsión Ingresos-Gastos'!U60*(1+'Datos iniciales'!$C13),"OK","REVISAR")</f>
        <v>OK</v>
      </c>
    </row>
    <row r="65" spans="1:30" ht="14.25" thickBot="1">
      <c r="A65" s="351" t="str">
        <f>+A58</f>
        <v>Contado</v>
      </c>
      <c r="D65" s="352"/>
      <c r="E65" s="352">
        <f>+'4 Periodo Cobro-Pago'!$D21*'3 Previsión Ingresos-Gastos'!D60*(1+'Datos iniciales'!$C13)</f>
        <v>7.26</v>
      </c>
      <c r="F65" s="352">
        <f>+'4 Periodo Cobro-Pago'!$D21*'3 Previsión Ingresos-Gastos'!E60*(1+'Datos iniciales'!$C13)</f>
        <v>7.26</v>
      </c>
      <c r="G65" s="352">
        <f>+'4 Periodo Cobro-Pago'!$D21*'3 Previsión Ingresos-Gastos'!F60*(1+'Datos iniciales'!$C13)</f>
        <v>7.26</v>
      </c>
      <c r="H65" s="352">
        <f>+'4 Periodo Cobro-Pago'!$D21*'3 Previsión Ingresos-Gastos'!G60*(1+'Datos iniciales'!$C13)</f>
        <v>7.26</v>
      </c>
      <c r="I65" s="352">
        <f>+'4 Periodo Cobro-Pago'!$D21*'3 Previsión Ingresos-Gastos'!H60*(1+'Datos iniciales'!$C13)</f>
        <v>7.26</v>
      </c>
      <c r="J65" s="352">
        <f>+'4 Periodo Cobro-Pago'!$D21*'3 Previsión Ingresos-Gastos'!I60*(1+'Datos iniciales'!$C13)</f>
        <v>7.26</v>
      </c>
      <c r="K65" s="352">
        <f>+'4 Periodo Cobro-Pago'!$D21*'3 Previsión Ingresos-Gastos'!J60*(1+'Datos iniciales'!$C13)</f>
        <v>7.26</v>
      </c>
      <c r="L65" s="352">
        <f>+'4 Periodo Cobro-Pago'!$D21*'3 Previsión Ingresos-Gastos'!K60*(1+'Datos iniciales'!$C13)</f>
        <v>7.26</v>
      </c>
      <c r="M65" s="352">
        <f>+'4 Periodo Cobro-Pago'!$D21*'3 Previsión Ingresos-Gastos'!L60*(1+'Datos iniciales'!$C13)</f>
        <v>7.26</v>
      </c>
      <c r="N65" s="352">
        <f>+'4 Periodo Cobro-Pago'!$D21*'3 Previsión Ingresos-Gastos'!M60*(1+'Datos iniciales'!$C13)</f>
        <v>7.26</v>
      </c>
      <c r="O65" s="352">
        <f>+'4 Periodo Cobro-Pago'!$D21*'3 Previsión Ingresos-Gastos'!N60*(1+'Datos iniciales'!$C13)</f>
        <v>7.26</v>
      </c>
      <c r="P65" s="352">
        <f>+'4 Periodo Cobro-Pago'!$D21*'3 Previsión Ingresos-Gastos'!O60*(1+'Datos iniciales'!$C13)</f>
        <v>7.26</v>
      </c>
      <c r="Q65" s="352"/>
      <c r="R65" s="352"/>
      <c r="S65" s="352"/>
      <c r="T65" s="352"/>
      <c r="U65" s="353"/>
      <c r="V65" s="352">
        <f t="shared" si="14"/>
        <v>87.12</v>
      </c>
      <c r="W65" s="352">
        <f>+SUM(Q65:T65)</f>
        <v>0</v>
      </c>
      <c r="X65" s="354"/>
      <c r="Y65" s="352">
        <f>+'4 Periodo Cobro-Pago'!D21*'3 Previsión Ingresos-Gastos'!S60*(1+'Datos iniciales'!$C13)</f>
        <v>130.68</v>
      </c>
      <c r="Z65" s="352"/>
      <c r="AA65" s="354"/>
      <c r="AB65" s="352">
        <f>+'4 Periodo Cobro-Pago'!D21*'3 Previsión Ingresos-Gastos'!U60*(1+'Datos iniciales'!$C13)</f>
        <v>196.01999999999998</v>
      </c>
      <c r="AC65" s="352"/>
    </row>
    <row r="66" spans="1:30" ht="14.25" thickBot="1">
      <c r="A66" s="351" t="str">
        <f>+A59</f>
        <v>a 30 días</v>
      </c>
      <c r="D66" s="352"/>
      <c r="E66" s="352"/>
      <c r="F66" s="352">
        <f>+'4 Periodo Cobro-Pago'!$E21*'3 Previsión Ingresos-Gastos'!D60*(1+'Datos iniciales'!$C13)</f>
        <v>7.26</v>
      </c>
      <c r="G66" s="352">
        <f>+'4 Periodo Cobro-Pago'!$E21*'3 Previsión Ingresos-Gastos'!E60*(1+'Datos iniciales'!$C13)</f>
        <v>7.26</v>
      </c>
      <c r="H66" s="352">
        <f>+'4 Periodo Cobro-Pago'!$E21*'3 Previsión Ingresos-Gastos'!F60*(1+'Datos iniciales'!$C13)</f>
        <v>7.26</v>
      </c>
      <c r="I66" s="352">
        <f>+'4 Periodo Cobro-Pago'!$E21*'3 Previsión Ingresos-Gastos'!G60*(1+'Datos iniciales'!$C13)</f>
        <v>7.26</v>
      </c>
      <c r="J66" s="352">
        <f>+'4 Periodo Cobro-Pago'!$E21*'3 Previsión Ingresos-Gastos'!H60*(1+'Datos iniciales'!$C13)</f>
        <v>7.26</v>
      </c>
      <c r="K66" s="352">
        <f>+'4 Periodo Cobro-Pago'!$E21*'3 Previsión Ingresos-Gastos'!I60*(1+'Datos iniciales'!$C13)</f>
        <v>7.26</v>
      </c>
      <c r="L66" s="352">
        <f>+'4 Periodo Cobro-Pago'!$E21*'3 Previsión Ingresos-Gastos'!J60*(1+'Datos iniciales'!$C13)</f>
        <v>7.26</v>
      </c>
      <c r="M66" s="352">
        <f>+'4 Periodo Cobro-Pago'!$E21*'3 Previsión Ingresos-Gastos'!K60*(1+'Datos iniciales'!$C13)</f>
        <v>7.26</v>
      </c>
      <c r="N66" s="352">
        <f>+'4 Periodo Cobro-Pago'!$E21*'3 Previsión Ingresos-Gastos'!L60*(1+'Datos iniciales'!$C13)</f>
        <v>7.26</v>
      </c>
      <c r="O66" s="352">
        <f>+'4 Periodo Cobro-Pago'!$E21*'3 Previsión Ingresos-Gastos'!M60*(1+'Datos iniciales'!$C13)</f>
        <v>7.26</v>
      </c>
      <c r="P66" s="352">
        <f>+'4 Periodo Cobro-Pago'!$E21*'3 Previsión Ingresos-Gastos'!N60*(1+'Datos iniciales'!$C13)</f>
        <v>7.26</v>
      </c>
      <c r="Q66" s="352">
        <f>+'4 Periodo Cobro-Pago'!$E21*'3 Previsión Ingresos-Gastos'!O60*(1+'Datos iniciales'!$C13)</f>
        <v>7.26</v>
      </c>
      <c r="R66" s="352"/>
      <c r="S66" s="352"/>
      <c r="T66" s="352"/>
      <c r="U66" s="353"/>
      <c r="V66" s="352">
        <f t="shared" si="14"/>
        <v>79.86</v>
      </c>
      <c r="W66" s="352">
        <f>+SUM(Q66:T66)</f>
        <v>7.26</v>
      </c>
      <c r="X66" s="354"/>
      <c r="Y66" s="352">
        <f>+(('4 Periodo Cobro-Pago'!E21*'3 Previsión Ingresos-Gastos'!S60*(1+'Datos iniciales'!$C13))/12)*11</f>
        <v>119.79</v>
      </c>
      <c r="Z66" s="352">
        <f>+(Y66/11)</f>
        <v>10.89</v>
      </c>
      <c r="AA66" s="354"/>
      <c r="AB66" s="352">
        <f>+(('4 Periodo Cobro-Pago'!E21*'3 Previsión Ingresos-Gastos'!U60*(1+'Datos iniciales'!$C13))/12)*11</f>
        <v>179.68499999999997</v>
      </c>
      <c r="AC66" s="352">
        <f>+(AB66/11)</f>
        <v>16.334999999999997</v>
      </c>
    </row>
    <row r="67" spans="1:30" ht="14.25" thickBot="1">
      <c r="A67" s="351" t="str">
        <f>+A60</f>
        <v>a 60 días</v>
      </c>
      <c r="D67" s="352"/>
      <c r="E67" s="352"/>
      <c r="F67" s="352"/>
      <c r="G67" s="352">
        <f>+'4 Periodo Cobro-Pago'!$F21*'3 Previsión Ingresos-Gastos'!D60*(1+'Datos iniciales'!$C13)</f>
        <v>7.26</v>
      </c>
      <c r="H67" s="352">
        <f>+'4 Periodo Cobro-Pago'!$F21*'3 Previsión Ingresos-Gastos'!E60*(1+'Datos iniciales'!$C13)</f>
        <v>7.26</v>
      </c>
      <c r="I67" s="352">
        <f>+'4 Periodo Cobro-Pago'!$F21*'3 Previsión Ingresos-Gastos'!F60*(1+'Datos iniciales'!$C13)</f>
        <v>7.26</v>
      </c>
      <c r="J67" s="352">
        <f>+'4 Periodo Cobro-Pago'!$F21*'3 Previsión Ingresos-Gastos'!G60*(1+'Datos iniciales'!$C13)</f>
        <v>7.26</v>
      </c>
      <c r="K67" s="352">
        <f>+'4 Periodo Cobro-Pago'!$F21*'3 Previsión Ingresos-Gastos'!H60*(1+'Datos iniciales'!$C13)</f>
        <v>7.26</v>
      </c>
      <c r="L67" s="352">
        <f>+'4 Periodo Cobro-Pago'!$F21*'3 Previsión Ingresos-Gastos'!I60*(1+'Datos iniciales'!$C13)</f>
        <v>7.26</v>
      </c>
      <c r="M67" s="352">
        <f>+'4 Periodo Cobro-Pago'!$F21*'3 Previsión Ingresos-Gastos'!J60*(1+'Datos iniciales'!$C13)</f>
        <v>7.26</v>
      </c>
      <c r="N67" s="352">
        <f>+'4 Periodo Cobro-Pago'!$F21*'3 Previsión Ingresos-Gastos'!K60*(1+'Datos iniciales'!$C13)</f>
        <v>7.26</v>
      </c>
      <c r="O67" s="352">
        <f>+'4 Periodo Cobro-Pago'!$F21*'3 Previsión Ingresos-Gastos'!L60*(1+'Datos iniciales'!$C13)</f>
        <v>7.26</v>
      </c>
      <c r="P67" s="352">
        <f>+'4 Periodo Cobro-Pago'!$F21*'3 Previsión Ingresos-Gastos'!M60*(1+'Datos iniciales'!$C13)</f>
        <v>7.26</v>
      </c>
      <c r="Q67" s="352">
        <f>+'4 Periodo Cobro-Pago'!$F21*'3 Previsión Ingresos-Gastos'!N60*(1+'Datos iniciales'!$C13)</f>
        <v>7.26</v>
      </c>
      <c r="R67" s="352">
        <f>+'4 Periodo Cobro-Pago'!$F21*'3 Previsión Ingresos-Gastos'!O60*(1+'Datos iniciales'!$C13)</f>
        <v>7.26</v>
      </c>
      <c r="S67" s="352"/>
      <c r="T67" s="352"/>
      <c r="U67" s="353"/>
      <c r="V67" s="352">
        <f t="shared" si="14"/>
        <v>72.599999999999994</v>
      </c>
      <c r="W67" s="352">
        <f>+SUM(Q67:T67)</f>
        <v>14.52</v>
      </c>
      <c r="X67" s="354"/>
      <c r="Y67" s="352">
        <f>+(('4 Periodo Cobro-Pago'!F21*'3 Previsión Ingresos-Gastos'!S60*(1+'Datos iniciales'!$C13))/12)*10</f>
        <v>108.9</v>
      </c>
      <c r="Z67" s="352">
        <f>+(Y67/10)*2</f>
        <v>21.78</v>
      </c>
      <c r="AA67" s="354"/>
      <c r="AB67" s="352">
        <f>+(('4 Periodo Cobro-Pago'!F21*'3 Previsión Ingresos-Gastos'!U60*(1+'Datos iniciales'!$C13))/12)*10</f>
        <v>163.34999999999997</v>
      </c>
      <c r="AC67" s="352">
        <f>+(AB67/10)*2</f>
        <v>32.669999999999995</v>
      </c>
    </row>
    <row r="68" spans="1:30" ht="14.25" thickBot="1">
      <c r="A68" s="351" t="str">
        <f>+A61</f>
        <v>a 90 días</v>
      </c>
      <c r="D68" s="352"/>
      <c r="E68" s="352"/>
      <c r="F68" s="352"/>
      <c r="G68" s="352"/>
      <c r="H68" s="352">
        <f>+'4 Periodo Cobro-Pago'!$G21*'3 Previsión Ingresos-Gastos'!D60*(1+'Datos iniciales'!$C13)</f>
        <v>7.26</v>
      </c>
      <c r="I68" s="352">
        <f>+'4 Periodo Cobro-Pago'!$G21*'3 Previsión Ingresos-Gastos'!E60*(1+'Datos iniciales'!$C13)</f>
        <v>7.26</v>
      </c>
      <c r="J68" s="352">
        <f>+'4 Periodo Cobro-Pago'!$G21*'3 Previsión Ingresos-Gastos'!F60*(1+'Datos iniciales'!$C13)</f>
        <v>7.26</v>
      </c>
      <c r="K68" s="352">
        <f>+'4 Periodo Cobro-Pago'!$G21*'3 Previsión Ingresos-Gastos'!G60*(1+'Datos iniciales'!$C13)</f>
        <v>7.26</v>
      </c>
      <c r="L68" s="352">
        <f>+'4 Periodo Cobro-Pago'!$G21*'3 Previsión Ingresos-Gastos'!H60*(1+'Datos iniciales'!$C13)</f>
        <v>7.26</v>
      </c>
      <c r="M68" s="352">
        <f>+'4 Periodo Cobro-Pago'!$G21*'3 Previsión Ingresos-Gastos'!I60*(1+'Datos iniciales'!$C13)</f>
        <v>7.26</v>
      </c>
      <c r="N68" s="352">
        <f>+'4 Periodo Cobro-Pago'!$G21*'3 Previsión Ingresos-Gastos'!J60*(1+'Datos iniciales'!$C13)</f>
        <v>7.26</v>
      </c>
      <c r="O68" s="352">
        <f>+'4 Periodo Cobro-Pago'!$G21*'3 Previsión Ingresos-Gastos'!K60*(1+'Datos iniciales'!$C13)</f>
        <v>7.26</v>
      </c>
      <c r="P68" s="352">
        <f>+'4 Periodo Cobro-Pago'!$G21*'3 Previsión Ingresos-Gastos'!L60*(1+'Datos iniciales'!$C13)</f>
        <v>7.26</v>
      </c>
      <c r="Q68" s="352">
        <f>+'4 Periodo Cobro-Pago'!$G21*'3 Previsión Ingresos-Gastos'!M60*(1+'Datos iniciales'!$C13)</f>
        <v>7.26</v>
      </c>
      <c r="R68" s="352">
        <f>+'4 Periodo Cobro-Pago'!$G21*'3 Previsión Ingresos-Gastos'!N60*(1+'Datos iniciales'!$C13)</f>
        <v>7.26</v>
      </c>
      <c r="S68" s="352">
        <f>+'4 Periodo Cobro-Pago'!$G21*'3 Previsión Ingresos-Gastos'!O60*(1+'Datos iniciales'!$C13)</f>
        <v>7.26</v>
      </c>
      <c r="T68" s="352"/>
      <c r="U68" s="353"/>
      <c r="V68" s="352">
        <f t="shared" si="14"/>
        <v>65.339999999999989</v>
      </c>
      <c r="W68" s="352">
        <f>+SUM(Q68:T68)</f>
        <v>21.78</v>
      </c>
      <c r="X68" s="354"/>
      <c r="Y68" s="352">
        <f>+(('4 Periodo Cobro-Pago'!G21*'3 Previsión Ingresos-Gastos'!S60*(1+'Datos iniciales'!$C13))/12)*9</f>
        <v>98.01</v>
      </c>
      <c r="Z68" s="352">
        <f>+(Y68/9)*3</f>
        <v>32.67</v>
      </c>
      <c r="AA68" s="354"/>
      <c r="AB68" s="352">
        <f>+(('4 Periodo Cobro-Pago'!G21*'3 Previsión Ingresos-Gastos'!U60*(1+'Datos iniciales'!$C13))/12)*9</f>
        <v>147.01499999999999</v>
      </c>
      <c r="AC68" s="352">
        <f>+(AB68/9)*3</f>
        <v>49.004999999999995</v>
      </c>
    </row>
    <row r="69" spans="1:30" ht="14.25" thickBot="1">
      <c r="A69" s="351" t="str">
        <f>+A62</f>
        <v>a 120 días</v>
      </c>
      <c r="D69" s="352"/>
      <c r="E69" s="352"/>
      <c r="F69" s="352"/>
      <c r="G69" s="352"/>
      <c r="H69" s="352"/>
      <c r="I69" s="352">
        <f>+'4 Periodo Cobro-Pago'!$H21*'3 Previsión Ingresos-Gastos'!D60*(1+'Datos iniciales'!$C13)</f>
        <v>7.26</v>
      </c>
      <c r="J69" s="352">
        <f>+'4 Periodo Cobro-Pago'!$H21*'3 Previsión Ingresos-Gastos'!E60*(1+'Datos iniciales'!$C13)</f>
        <v>7.26</v>
      </c>
      <c r="K69" s="352">
        <f>+'4 Periodo Cobro-Pago'!$H21*'3 Previsión Ingresos-Gastos'!F60*(1+'Datos iniciales'!$C13)</f>
        <v>7.26</v>
      </c>
      <c r="L69" s="352">
        <f>+'4 Periodo Cobro-Pago'!$H21*'3 Previsión Ingresos-Gastos'!G60*(1+'Datos iniciales'!$C13)</f>
        <v>7.26</v>
      </c>
      <c r="M69" s="352">
        <f>+'4 Periodo Cobro-Pago'!$H21*'3 Previsión Ingresos-Gastos'!H60*(1+'Datos iniciales'!$C13)</f>
        <v>7.26</v>
      </c>
      <c r="N69" s="352">
        <f>+'4 Periodo Cobro-Pago'!$H21*'3 Previsión Ingresos-Gastos'!I60*(1+'Datos iniciales'!$C13)</f>
        <v>7.26</v>
      </c>
      <c r="O69" s="352">
        <f>+'4 Periodo Cobro-Pago'!$H21*'3 Previsión Ingresos-Gastos'!J60*(1+'Datos iniciales'!$C13)</f>
        <v>7.26</v>
      </c>
      <c r="P69" s="352">
        <f>+'4 Periodo Cobro-Pago'!$H21*'3 Previsión Ingresos-Gastos'!K60*(1+'Datos iniciales'!$C13)</f>
        <v>7.26</v>
      </c>
      <c r="Q69" s="352">
        <f>+'4 Periodo Cobro-Pago'!$H21*'3 Previsión Ingresos-Gastos'!L60*(1+'Datos iniciales'!$C13)</f>
        <v>7.26</v>
      </c>
      <c r="R69" s="352">
        <f>+'4 Periodo Cobro-Pago'!$H21*'3 Previsión Ingresos-Gastos'!M60*(1+'Datos iniciales'!$C13)</f>
        <v>7.26</v>
      </c>
      <c r="S69" s="352">
        <f>+'4 Periodo Cobro-Pago'!$H21*'3 Previsión Ingresos-Gastos'!N60*(1+'Datos iniciales'!$C13)</f>
        <v>7.26</v>
      </c>
      <c r="T69" s="352">
        <f>+'4 Periodo Cobro-Pago'!$H21*'3 Previsión Ingresos-Gastos'!O60*(1+'Datos iniciales'!$C13)</f>
        <v>7.26</v>
      </c>
      <c r="U69" s="353"/>
      <c r="V69" s="352">
        <f t="shared" si="14"/>
        <v>58.079999999999991</v>
      </c>
      <c r="W69" s="352">
        <f>+SUM(Q69:T69)</f>
        <v>29.04</v>
      </c>
      <c r="X69" s="354"/>
      <c r="Y69" s="352">
        <f>+(('4 Periodo Cobro-Pago'!H21*'3 Previsión Ingresos-Gastos'!S60*(1+'Datos iniciales'!$C13))/12)*8</f>
        <v>87.12</v>
      </c>
      <c r="Z69" s="352">
        <f>+(Y69/8)*4</f>
        <v>43.56</v>
      </c>
      <c r="AA69" s="354"/>
      <c r="AB69" s="352">
        <f>+(('4 Periodo Cobro-Pago'!H21*'3 Previsión Ingresos-Gastos'!U60*(1+'Datos iniciales'!$C13))/12)*8</f>
        <v>130.67999999999998</v>
      </c>
      <c r="AC69" s="352">
        <f>+(AB69/8)*4</f>
        <v>65.339999999999989</v>
      </c>
    </row>
    <row r="70" spans="1:30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347"/>
      <c r="Q70" s="348"/>
      <c r="R70" s="163"/>
      <c r="S70" s="163"/>
      <c r="T70" s="163"/>
      <c r="U70" s="165"/>
      <c r="V70" s="349"/>
      <c r="W70" s="163"/>
      <c r="X70" s="355"/>
      <c r="Y70" s="348"/>
      <c r="Z70" s="163"/>
      <c r="AA70" s="355"/>
      <c r="AB70" s="348"/>
      <c r="AC70" s="163"/>
    </row>
    <row r="71" spans="1:30">
      <c r="A71" s="341" t="str">
        <f>+'4 Periodo Cobro-Pago'!B22</f>
        <v>Transportes (€)</v>
      </c>
      <c r="B71" s="341" t="str">
        <f>+IF(SUM(E71:T71)='3 Previsión Ingresos-Gastos'!Q61*(1+'Datos iniciales'!$C13),"OK","REVISAR")</f>
        <v>OK</v>
      </c>
      <c r="C71" s="342"/>
      <c r="D71" s="343">
        <f t="shared" ref="D71:T71" si="15">+SUM(D72:D76)</f>
        <v>0</v>
      </c>
      <c r="E71" s="343">
        <f t="shared" si="15"/>
        <v>1.21</v>
      </c>
      <c r="F71" s="343">
        <f t="shared" si="15"/>
        <v>2.42</v>
      </c>
      <c r="G71" s="343">
        <f t="shared" si="15"/>
        <v>3.63</v>
      </c>
      <c r="H71" s="343">
        <f t="shared" si="15"/>
        <v>4.84</v>
      </c>
      <c r="I71" s="343">
        <f t="shared" si="15"/>
        <v>6.05</v>
      </c>
      <c r="J71" s="343">
        <f t="shared" si="15"/>
        <v>6.05</v>
      </c>
      <c r="K71" s="343">
        <f t="shared" si="15"/>
        <v>6.05</v>
      </c>
      <c r="L71" s="343">
        <f t="shared" si="15"/>
        <v>6.05</v>
      </c>
      <c r="M71" s="343">
        <f t="shared" si="15"/>
        <v>6.05</v>
      </c>
      <c r="N71" s="343">
        <f t="shared" si="15"/>
        <v>6.05</v>
      </c>
      <c r="O71" s="343">
        <f t="shared" si="15"/>
        <v>6.05</v>
      </c>
      <c r="P71" s="343">
        <f t="shared" si="15"/>
        <v>6.05</v>
      </c>
      <c r="Q71" s="343">
        <f t="shared" si="15"/>
        <v>4.84</v>
      </c>
      <c r="R71" s="343">
        <f t="shared" si="15"/>
        <v>3.63</v>
      </c>
      <c r="S71" s="343">
        <f t="shared" si="15"/>
        <v>2.42</v>
      </c>
      <c r="T71" s="343">
        <f t="shared" si="15"/>
        <v>1.21</v>
      </c>
      <c r="U71" s="344"/>
      <c r="V71" s="343">
        <f t="shared" ref="V71:V76" si="16">+SUM(D71:P71)</f>
        <v>60.499999999999986</v>
      </c>
      <c r="W71" s="343">
        <f>+SUM(W72:W76)</f>
        <v>12.1</v>
      </c>
      <c r="X71" s="345"/>
      <c r="Y71" s="343">
        <f>+SUM(Y72:Y76)</f>
        <v>90.750000000000014</v>
      </c>
      <c r="Z71" s="343">
        <f>+SUM(Z72:Z76)</f>
        <v>18.150000000000002</v>
      </c>
      <c r="AA71" s="345" t="str">
        <f>+IF(SUM(Y71:Z71)='3 Previsión Ingresos-Gastos'!S61*(1+'Datos iniciales'!$C13),"OK","REVISAR")</f>
        <v>OK</v>
      </c>
      <c r="AB71" s="343">
        <f>+SUM(AB72:AB76)</f>
        <v>136.125</v>
      </c>
      <c r="AC71" s="343">
        <f>+SUM(AC72:AC76)</f>
        <v>27.225000000000001</v>
      </c>
      <c r="AD71" s="346" t="str">
        <f>+IF(SUM(AB71:AC71)='3 Previsión Ingresos-Gastos'!U61*(1+'Datos iniciales'!$C13),"OK","REVISAR")</f>
        <v>OK</v>
      </c>
    </row>
    <row r="72" spans="1:30" ht="14.25" thickBot="1">
      <c r="A72" s="351" t="str">
        <f>+A65</f>
        <v>Contado</v>
      </c>
      <c r="D72" s="352"/>
      <c r="E72" s="352">
        <f>+'4 Periodo Cobro-Pago'!$D22*'3 Previsión Ingresos-Gastos'!D61*(1+'Datos iniciales'!$C13)</f>
        <v>1.21</v>
      </c>
      <c r="F72" s="352">
        <f>+'4 Periodo Cobro-Pago'!$D22*'3 Previsión Ingresos-Gastos'!E61*(1+'Datos iniciales'!$C13)</f>
        <v>1.21</v>
      </c>
      <c r="G72" s="352">
        <f>+'4 Periodo Cobro-Pago'!$D22*'3 Previsión Ingresos-Gastos'!F61*(1+'Datos iniciales'!$C13)</f>
        <v>1.21</v>
      </c>
      <c r="H72" s="352">
        <f>+'4 Periodo Cobro-Pago'!$D22*'3 Previsión Ingresos-Gastos'!G61*(1+'Datos iniciales'!$C13)</f>
        <v>1.21</v>
      </c>
      <c r="I72" s="352">
        <f>+'4 Periodo Cobro-Pago'!$D22*'3 Previsión Ingresos-Gastos'!H61*(1+'Datos iniciales'!$C13)</f>
        <v>1.21</v>
      </c>
      <c r="J72" s="352">
        <f>+'4 Periodo Cobro-Pago'!$D22*'3 Previsión Ingresos-Gastos'!I61*(1+'Datos iniciales'!$C13)</f>
        <v>1.21</v>
      </c>
      <c r="K72" s="352">
        <f>+'4 Periodo Cobro-Pago'!$D22*'3 Previsión Ingresos-Gastos'!J61*(1+'Datos iniciales'!$C13)</f>
        <v>1.21</v>
      </c>
      <c r="L72" s="352">
        <f>+'4 Periodo Cobro-Pago'!$D22*'3 Previsión Ingresos-Gastos'!K61*(1+'Datos iniciales'!$C13)</f>
        <v>1.21</v>
      </c>
      <c r="M72" s="352">
        <f>+'4 Periodo Cobro-Pago'!$D22*'3 Previsión Ingresos-Gastos'!L61*(1+'Datos iniciales'!$C13)</f>
        <v>1.21</v>
      </c>
      <c r="N72" s="352">
        <f>+'4 Periodo Cobro-Pago'!$D22*'3 Previsión Ingresos-Gastos'!M61*(1+'Datos iniciales'!$C13)</f>
        <v>1.21</v>
      </c>
      <c r="O72" s="352">
        <f>+'4 Periodo Cobro-Pago'!$D22*'3 Previsión Ingresos-Gastos'!N61*(1+'Datos iniciales'!$C13)</f>
        <v>1.21</v>
      </c>
      <c r="P72" s="352">
        <f>+'4 Periodo Cobro-Pago'!$D22*'3 Previsión Ingresos-Gastos'!O61*(1+'Datos iniciales'!$C13)</f>
        <v>1.21</v>
      </c>
      <c r="Q72" s="352"/>
      <c r="R72" s="352"/>
      <c r="S72" s="352"/>
      <c r="T72" s="352"/>
      <c r="U72" s="353"/>
      <c r="V72" s="352">
        <f t="shared" si="16"/>
        <v>14.520000000000003</v>
      </c>
      <c r="W72" s="352">
        <f>+SUM(Q72:T72)</f>
        <v>0</v>
      </c>
      <c r="X72" s="354"/>
      <c r="Y72" s="352">
        <f>+'4 Periodo Cobro-Pago'!D22*'3 Previsión Ingresos-Gastos'!S61*(1+'Datos iniciales'!$C13)</f>
        <v>21.78</v>
      </c>
      <c r="Z72" s="352"/>
      <c r="AA72" s="354"/>
      <c r="AB72" s="352">
        <f>+'4 Periodo Cobro-Pago'!D22*'3 Previsión Ingresos-Gastos'!U61*(1+'Datos iniciales'!$C13)</f>
        <v>32.67</v>
      </c>
      <c r="AC72" s="352"/>
    </row>
    <row r="73" spans="1:30" ht="14.25" thickBot="1">
      <c r="A73" s="351" t="str">
        <f>+A66</f>
        <v>a 30 días</v>
      </c>
      <c r="D73" s="352"/>
      <c r="E73" s="352"/>
      <c r="F73" s="352">
        <f>+'4 Periodo Cobro-Pago'!$E22*'3 Previsión Ingresos-Gastos'!D61*(1+'Datos iniciales'!$C13)</f>
        <v>1.21</v>
      </c>
      <c r="G73" s="352">
        <f>+'4 Periodo Cobro-Pago'!$E22*'3 Previsión Ingresos-Gastos'!E61*(1+'Datos iniciales'!$C13)</f>
        <v>1.21</v>
      </c>
      <c r="H73" s="352">
        <f>+'4 Periodo Cobro-Pago'!$E22*'3 Previsión Ingresos-Gastos'!F61*(1+'Datos iniciales'!$C13)</f>
        <v>1.21</v>
      </c>
      <c r="I73" s="352">
        <f>+'4 Periodo Cobro-Pago'!$E22*'3 Previsión Ingresos-Gastos'!G61*(1+'Datos iniciales'!$C13)</f>
        <v>1.21</v>
      </c>
      <c r="J73" s="352">
        <f>+'4 Periodo Cobro-Pago'!$E22*'3 Previsión Ingresos-Gastos'!H61*(1+'Datos iniciales'!$C13)</f>
        <v>1.21</v>
      </c>
      <c r="K73" s="352">
        <f>+'4 Periodo Cobro-Pago'!$E22*'3 Previsión Ingresos-Gastos'!I61*(1+'Datos iniciales'!$C13)</f>
        <v>1.21</v>
      </c>
      <c r="L73" s="352">
        <f>+'4 Periodo Cobro-Pago'!$E22*'3 Previsión Ingresos-Gastos'!J61*(1+'Datos iniciales'!$C13)</f>
        <v>1.21</v>
      </c>
      <c r="M73" s="352">
        <f>+'4 Periodo Cobro-Pago'!$E22*'3 Previsión Ingresos-Gastos'!K61*(1+'Datos iniciales'!$C13)</f>
        <v>1.21</v>
      </c>
      <c r="N73" s="352">
        <f>+'4 Periodo Cobro-Pago'!$E22*'3 Previsión Ingresos-Gastos'!L61*(1+'Datos iniciales'!$C13)</f>
        <v>1.21</v>
      </c>
      <c r="O73" s="352">
        <f>+'4 Periodo Cobro-Pago'!$E22*'3 Previsión Ingresos-Gastos'!M61*(1+'Datos iniciales'!$C13)</f>
        <v>1.21</v>
      </c>
      <c r="P73" s="352">
        <f>+'4 Periodo Cobro-Pago'!$E22*'3 Previsión Ingresos-Gastos'!N61*(1+'Datos iniciales'!$C13)</f>
        <v>1.21</v>
      </c>
      <c r="Q73" s="352">
        <f>+'4 Periodo Cobro-Pago'!$E22*'3 Previsión Ingresos-Gastos'!O61*(1+'Datos iniciales'!$C13)</f>
        <v>1.21</v>
      </c>
      <c r="R73" s="352"/>
      <c r="S73" s="352"/>
      <c r="T73" s="352"/>
      <c r="U73" s="353"/>
      <c r="V73" s="352">
        <f t="shared" si="16"/>
        <v>13.310000000000002</v>
      </c>
      <c r="W73" s="352">
        <f>+SUM(Q73:T73)</f>
        <v>1.21</v>
      </c>
      <c r="X73" s="354"/>
      <c r="Y73" s="352">
        <f>+(('4 Periodo Cobro-Pago'!E22*'3 Previsión Ingresos-Gastos'!S61*(1+'Datos iniciales'!$C13))/12)*11</f>
        <v>19.965000000000003</v>
      </c>
      <c r="Z73" s="352">
        <f>+(Y73/11)</f>
        <v>1.8150000000000004</v>
      </c>
      <c r="AA73" s="354"/>
      <c r="AB73" s="352">
        <f>+(('4 Periodo Cobro-Pago'!E22*'3 Previsión Ingresos-Gastos'!U61*(1+'Datos iniciales'!$C13))/12)*11</f>
        <v>29.947500000000002</v>
      </c>
      <c r="AC73" s="352">
        <f>+(AB73/11)</f>
        <v>2.7225000000000001</v>
      </c>
    </row>
    <row r="74" spans="1:30" ht="14.25" thickBot="1">
      <c r="A74" s="351" t="str">
        <f>+A67</f>
        <v>a 60 días</v>
      </c>
      <c r="D74" s="352"/>
      <c r="E74" s="352"/>
      <c r="F74" s="352"/>
      <c r="G74" s="352">
        <f>+'4 Periodo Cobro-Pago'!$F22*'3 Previsión Ingresos-Gastos'!D61*(1+'Datos iniciales'!$C13)</f>
        <v>1.21</v>
      </c>
      <c r="H74" s="352">
        <f>+'4 Periodo Cobro-Pago'!$F22*'3 Previsión Ingresos-Gastos'!E61*(1+'Datos iniciales'!$C13)</f>
        <v>1.21</v>
      </c>
      <c r="I74" s="352">
        <f>+'4 Periodo Cobro-Pago'!$F22*'3 Previsión Ingresos-Gastos'!F61*(1+'Datos iniciales'!$C13)</f>
        <v>1.21</v>
      </c>
      <c r="J74" s="352">
        <f>+'4 Periodo Cobro-Pago'!$F22*'3 Previsión Ingresos-Gastos'!G61*(1+'Datos iniciales'!$C13)</f>
        <v>1.21</v>
      </c>
      <c r="K74" s="352">
        <f>+'4 Periodo Cobro-Pago'!$F22*'3 Previsión Ingresos-Gastos'!H61*(1+'Datos iniciales'!$C13)</f>
        <v>1.21</v>
      </c>
      <c r="L74" s="352">
        <f>+'4 Periodo Cobro-Pago'!$F22*'3 Previsión Ingresos-Gastos'!I61*(1+'Datos iniciales'!$C13)</f>
        <v>1.21</v>
      </c>
      <c r="M74" s="352">
        <f>+'4 Periodo Cobro-Pago'!$F22*'3 Previsión Ingresos-Gastos'!J61*(1+'Datos iniciales'!$C13)</f>
        <v>1.21</v>
      </c>
      <c r="N74" s="352">
        <f>+'4 Periodo Cobro-Pago'!$F22*'3 Previsión Ingresos-Gastos'!K61*(1+'Datos iniciales'!$C13)</f>
        <v>1.21</v>
      </c>
      <c r="O74" s="352">
        <f>+'4 Periodo Cobro-Pago'!$F22*'3 Previsión Ingresos-Gastos'!L61*(1+'Datos iniciales'!$C13)</f>
        <v>1.21</v>
      </c>
      <c r="P74" s="352">
        <f>+'4 Periodo Cobro-Pago'!$F22*'3 Previsión Ingresos-Gastos'!M61*(1+'Datos iniciales'!$C13)</f>
        <v>1.21</v>
      </c>
      <c r="Q74" s="352">
        <f>+'4 Periodo Cobro-Pago'!$F22*'3 Previsión Ingresos-Gastos'!N61*(1+'Datos iniciales'!$C13)</f>
        <v>1.21</v>
      </c>
      <c r="R74" s="352">
        <f>+'4 Periodo Cobro-Pago'!$F22*'3 Previsión Ingresos-Gastos'!O61*(1+'Datos iniciales'!$C13)</f>
        <v>1.21</v>
      </c>
      <c r="S74" s="352"/>
      <c r="T74" s="352"/>
      <c r="U74" s="353"/>
      <c r="V74" s="352">
        <f t="shared" si="16"/>
        <v>12.100000000000001</v>
      </c>
      <c r="W74" s="352">
        <f>+SUM(Q74:T74)</f>
        <v>2.42</v>
      </c>
      <c r="X74" s="354"/>
      <c r="Y74" s="352">
        <f>+(('4 Periodo Cobro-Pago'!F22*'3 Previsión Ingresos-Gastos'!S61*(1+'Datos iniciales'!$C13))/12)*10</f>
        <v>18.150000000000002</v>
      </c>
      <c r="Z74" s="352">
        <f>+(Y74/10)*2</f>
        <v>3.6300000000000003</v>
      </c>
      <c r="AA74" s="354"/>
      <c r="AB74" s="352">
        <f>+(('4 Periodo Cobro-Pago'!F22*'3 Previsión Ingresos-Gastos'!U61*(1+'Datos iniciales'!$C13))/12)*10</f>
        <v>27.225000000000001</v>
      </c>
      <c r="AC74" s="352">
        <f>+(AB74/10)*2</f>
        <v>5.4450000000000003</v>
      </c>
    </row>
    <row r="75" spans="1:30" ht="14.25" thickBot="1">
      <c r="A75" s="351" t="str">
        <f>+A68</f>
        <v>a 90 días</v>
      </c>
      <c r="D75" s="352"/>
      <c r="E75" s="352"/>
      <c r="F75" s="352"/>
      <c r="G75" s="352"/>
      <c r="H75" s="352">
        <f>+'4 Periodo Cobro-Pago'!$G22*'3 Previsión Ingresos-Gastos'!D61*(1+'Datos iniciales'!$C13)</f>
        <v>1.21</v>
      </c>
      <c r="I75" s="352">
        <f>+'4 Periodo Cobro-Pago'!$G22*'3 Previsión Ingresos-Gastos'!E61*(1+'Datos iniciales'!$C13)</f>
        <v>1.21</v>
      </c>
      <c r="J75" s="352">
        <f>+'4 Periodo Cobro-Pago'!$G22*'3 Previsión Ingresos-Gastos'!F61*(1+'Datos iniciales'!$C13)</f>
        <v>1.21</v>
      </c>
      <c r="K75" s="352">
        <f>+'4 Periodo Cobro-Pago'!$G22*'3 Previsión Ingresos-Gastos'!G61*(1+'Datos iniciales'!$C13)</f>
        <v>1.21</v>
      </c>
      <c r="L75" s="352">
        <f>+'4 Periodo Cobro-Pago'!$G22*'3 Previsión Ingresos-Gastos'!H61*(1+'Datos iniciales'!$C13)</f>
        <v>1.21</v>
      </c>
      <c r="M75" s="352">
        <f>+'4 Periodo Cobro-Pago'!$G22*'3 Previsión Ingresos-Gastos'!I61*(1+'Datos iniciales'!$C13)</f>
        <v>1.21</v>
      </c>
      <c r="N75" s="352">
        <f>+'4 Periodo Cobro-Pago'!$G22*'3 Previsión Ingresos-Gastos'!J61*(1+'Datos iniciales'!$C13)</f>
        <v>1.21</v>
      </c>
      <c r="O75" s="352">
        <f>+'4 Periodo Cobro-Pago'!$G22*'3 Previsión Ingresos-Gastos'!K61*(1+'Datos iniciales'!$C13)</f>
        <v>1.21</v>
      </c>
      <c r="P75" s="352">
        <f>+'4 Periodo Cobro-Pago'!$G22*'3 Previsión Ingresos-Gastos'!L61*(1+'Datos iniciales'!$C13)</f>
        <v>1.21</v>
      </c>
      <c r="Q75" s="352">
        <f>+'4 Periodo Cobro-Pago'!$G22*'3 Previsión Ingresos-Gastos'!M61*(1+'Datos iniciales'!$C13)</f>
        <v>1.21</v>
      </c>
      <c r="R75" s="352">
        <f>+'4 Periodo Cobro-Pago'!$G22*'3 Previsión Ingresos-Gastos'!N61*(1+'Datos iniciales'!$C13)</f>
        <v>1.21</v>
      </c>
      <c r="S75" s="352">
        <f>+'4 Periodo Cobro-Pago'!$G22*'3 Previsión Ingresos-Gastos'!O61*(1+'Datos iniciales'!$C13)</f>
        <v>1.21</v>
      </c>
      <c r="T75" s="352"/>
      <c r="U75" s="353"/>
      <c r="V75" s="352">
        <f t="shared" si="16"/>
        <v>10.89</v>
      </c>
      <c r="W75" s="352">
        <f>+SUM(Q75:T75)</f>
        <v>3.63</v>
      </c>
      <c r="X75" s="354"/>
      <c r="Y75" s="352">
        <f>+(('4 Periodo Cobro-Pago'!G22*'3 Previsión Ingresos-Gastos'!S61*(1+'Datos iniciales'!$C13))/12)*9</f>
        <v>16.335000000000001</v>
      </c>
      <c r="Z75" s="352">
        <f>+(Y75/9)*3</f>
        <v>5.4450000000000003</v>
      </c>
      <c r="AA75" s="354"/>
      <c r="AB75" s="352">
        <f>+(('4 Periodo Cobro-Pago'!G22*'3 Previsión Ingresos-Gastos'!U61*(1+'Datos iniciales'!$C13))/12)*9</f>
        <v>24.502500000000001</v>
      </c>
      <c r="AC75" s="352">
        <f>+(AB75/9)*3</f>
        <v>8.1675000000000004</v>
      </c>
    </row>
    <row r="76" spans="1:30" ht="14.25" thickBot="1">
      <c r="A76" s="351" t="str">
        <f>+A69</f>
        <v>a 120 días</v>
      </c>
      <c r="D76" s="352"/>
      <c r="E76" s="352"/>
      <c r="F76" s="352"/>
      <c r="G76" s="352"/>
      <c r="H76" s="352"/>
      <c r="I76" s="352">
        <f>+'4 Periodo Cobro-Pago'!$H22*'3 Previsión Ingresos-Gastos'!D61*(1+'Datos iniciales'!$C13)</f>
        <v>1.21</v>
      </c>
      <c r="J76" s="352">
        <f>+'4 Periodo Cobro-Pago'!$H22*'3 Previsión Ingresos-Gastos'!E61*(1+'Datos iniciales'!$C13)</f>
        <v>1.21</v>
      </c>
      <c r="K76" s="352">
        <f>+'4 Periodo Cobro-Pago'!$H22*'3 Previsión Ingresos-Gastos'!F61*(1+'Datos iniciales'!$C13)</f>
        <v>1.21</v>
      </c>
      <c r="L76" s="352">
        <f>+'4 Periodo Cobro-Pago'!$H22*'3 Previsión Ingresos-Gastos'!G61*(1+'Datos iniciales'!$C13)</f>
        <v>1.21</v>
      </c>
      <c r="M76" s="352">
        <f>+'4 Periodo Cobro-Pago'!$H22*'3 Previsión Ingresos-Gastos'!H61*(1+'Datos iniciales'!$C13)</f>
        <v>1.21</v>
      </c>
      <c r="N76" s="352">
        <f>+'4 Periodo Cobro-Pago'!$H22*'3 Previsión Ingresos-Gastos'!I61*(1+'Datos iniciales'!$C13)</f>
        <v>1.21</v>
      </c>
      <c r="O76" s="352">
        <f>+'4 Periodo Cobro-Pago'!$H22*'3 Previsión Ingresos-Gastos'!J61*(1+'Datos iniciales'!$C13)</f>
        <v>1.21</v>
      </c>
      <c r="P76" s="352">
        <f>+'4 Periodo Cobro-Pago'!$H22*'3 Previsión Ingresos-Gastos'!K61*(1+'Datos iniciales'!$C13)</f>
        <v>1.21</v>
      </c>
      <c r="Q76" s="352">
        <f>+'4 Periodo Cobro-Pago'!$H22*'3 Previsión Ingresos-Gastos'!L61*(1+'Datos iniciales'!$C13)</f>
        <v>1.21</v>
      </c>
      <c r="R76" s="352">
        <f>+'4 Periodo Cobro-Pago'!$H22*'3 Previsión Ingresos-Gastos'!M61*(1+'Datos iniciales'!$C13)</f>
        <v>1.21</v>
      </c>
      <c r="S76" s="352">
        <f>+'4 Periodo Cobro-Pago'!$H22*'3 Previsión Ingresos-Gastos'!N61*(1+'Datos iniciales'!$C13)</f>
        <v>1.21</v>
      </c>
      <c r="T76" s="352">
        <f>+'4 Periodo Cobro-Pago'!$H22*'3 Previsión Ingresos-Gastos'!O61*(1+'Datos iniciales'!$C13)</f>
        <v>1.21</v>
      </c>
      <c r="U76" s="353"/>
      <c r="V76" s="352">
        <f t="shared" si="16"/>
        <v>9.68</v>
      </c>
      <c r="W76" s="352">
        <f>+SUM(Q76:T76)</f>
        <v>4.84</v>
      </c>
      <c r="X76" s="354"/>
      <c r="Y76" s="352">
        <f>+(('4 Periodo Cobro-Pago'!H22*'3 Previsión Ingresos-Gastos'!S61*(1+'Datos iniciales'!$C13))/12)*8</f>
        <v>14.520000000000001</v>
      </c>
      <c r="Z76" s="352">
        <f>+(Y76/8)*4</f>
        <v>7.2600000000000007</v>
      </c>
      <c r="AA76" s="354"/>
      <c r="AB76" s="352">
        <f>+(('4 Periodo Cobro-Pago'!H22*'3 Previsión Ingresos-Gastos'!U61*(1+'Datos iniciales'!$C13))/12)*8</f>
        <v>21.78</v>
      </c>
      <c r="AC76" s="352">
        <f>+(AB76/8)*4</f>
        <v>10.89</v>
      </c>
    </row>
    <row r="77" spans="1:30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347"/>
      <c r="Q77" s="348"/>
      <c r="R77" s="163"/>
      <c r="S77" s="163"/>
      <c r="T77" s="163"/>
      <c r="U77" s="165"/>
      <c r="V77" s="349"/>
      <c r="W77" s="163"/>
      <c r="X77" s="355"/>
      <c r="Y77" s="348"/>
      <c r="Z77" s="163"/>
      <c r="AA77" s="355"/>
      <c r="AB77" s="348"/>
      <c r="AC77" s="163"/>
    </row>
    <row r="78" spans="1:30">
      <c r="A78" s="341" t="str">
        <f>+'4 Periodo Cobro-Pago'!B23</f>
        <v>Seguros (€)</v>
      </c>
      <c r="B78" s="341" t="str">
        <f>+IF(SUM(E78:T78)='3 Previsión Ingresos-Gastos'!Q62,"OK","REVISAR")</f>
        <v>OK</v>
      </c>
      <c r="C78" s="342"/>
      <c r="D78" s="343"/>
      <c r="E78" s="343">
        <f>+'4 Periodo Cobro-Pago'!$D23*'3 Previsión Ingresos-Gastos'!D62</f>
        <v>12.5</v>
      </c>
      <c r="F78" s="343">
        <f>+'4 Periodo Cobro-Pago'!$D23*'3 Previsión Ingresos-Gastos'!E62</f>
        <v>12.5</v>
      </c>
      <c r="G78" s="343">
        <f>+'4 Periodo Cobro-Pago'!$D23*'3 Previsión Ingresos-Gastos'!F62</f>
        <v>12.5</v>
      </c>
      <c r="H78" s="343">
        <f>+'4 Periodo Cobro-Pago'!$D23*'3 Previsión Ingresos-Gastos'!G62</f>
        <v>12.5</v>
      </c>
      <c r="I78" s="343">
        <f>+'4 Periodo Cobro-Pago'!$D23*'3 Previsión Ingresos-Gastos'!H62</f>
        <v>12.5</v>
      </c>
      <c r="J78" s="343">
        <f>+'4 Periodo Cobro-Pago'!$D23*'3 Previsión Ingresos-Gastos'!I62</f>
        <v>12.5</v>
      </c>
      <c r="K78" s="343">
        <f>+'4 Periodo Cobro-Pago'!$D23*'3 Previsión Ingresos-Gastos'!J62</f>
        <v>12.5</v>
      </c>
      <c r="L78" s="343">
        <f>+'4 Periodo Cobro-Pago'!$D23*'3 Previsión Ingresos-Gastos'!K62</f>
        <v>12.5</v>
      </c>
      <c r="M78" s="343">
        <f>+'4 Periodo Cobro-Pago'!$D23*'3 Previsión Ingresos-Gastos'!L62</f>
        <v>12.5</v>
      </c>
      <c r="N78" s="343">
        <f>+'4 Periodo Cobro-Pago'!$D23*'3 Previsión Ingresos-Gastos'!M62</f>
        <v>12.5</v>
      </c>
      <c r="O78" s="343">
        <f>+'4 Periodo Cobro-Pago'!$D23*'3 Previsión Ingresos-Gastos'!N62</f>
        <v>12.5</v>
      </c>
      <c r="P78" s="343">
        <f>+'4 Periodo Cobro-Pago'!$D23*'3 Previsión Ingresos-Gastos'!O62</f>
        <v>12.5</v>
      </c>
      <c r="Q78" s="343"/>
      <c r="R78" s="343"/>
      <c r="S78" s="343"/>
      <c r="T78" s="343"/>
      <c r="U78" s="344"/>
      <c r="V78" s="343">
        <f>+SUM(D78:P78)</f>
        <v>150</v>
      </c>
      <c r="W78" s="343"/>
      <c r="X78" s="345"/>
      <c r="Y78" s="343">
        <f>+'4 Periodo Cobro-Pago'!D23*'3 Previsión Ingresos-Gastos'!S62</f>
        <v>225</v>
      </c>
      <c r="Z78" s="343"/>
      <c r="AA78" s="345" t="str">
        <f>+IF(SUM(Y78:Z78)='3 Previsión Ingresos-Gastos'!S62,"OK","REVISAR")</f>
        <v>OK</v>
      </c>
      <c r="AB78" s="343">
        <f>+'4 Periodo Cobro-Pago'!D23*'3 Previsión Ingresos-Gastos'!U62</f>
        <v>337.5</v>
      </c>
      <c r="AC78" s="343"/>
      <c r="AD78" s="346" t="str">
        <f>+IF(SUM(AB78:AC78)='3 Previsión Ingresos-Gastos'!U62,"OK","REVISAR")</f>
        <v>OK</v>
      </c>
    </row>
    <row r="79" spans="1:30">
      <c r="A79" s="164"/>
      <c r="B79" s="164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60"/>
      <c r="Q79" s="361"/>
      <c r="R79" s="349"/>
      <c r="S79" s="349"/>
      <c r="T79" s="349"/>
      <c r="U79" s="358"/>
      <c r="V79" s="349"/>
      <c r="W79" s="349"/>
      <c r="X79" s="362"/>
      <c r="Y79" s="361"/>
      <c r="Z79" s="349"/>
      <c r="AA79" s="362"/>
      <c r="AB79" s="361"/>
      <c r="AC79" s="349"/>
    </row>
    <row r="80" spans="1:30">
      <c r="A80" s="341" t="str">
        <f>+'4 Periodo Cobro-Pago'!B24</f>
        <v>Servicios bancarios (€)</v>
      </c>
      <c r="B80" s="341" t="str">
        <f>+IF(SUM(E80:T80)='3 Previsión Ingresos-Gastos'!Q63*(1+'Datos iniciales'!$C13),"OK","REVISAR")</f>
        <v>OK</v>
      </c>
      <c r="C80" s="342"/>
      <c r="D80" s="343"/>
      <c r="E80" s="343">
        <f>+'4 Periodo Cobro-Pago'!$D24*'3 Previsión Ingresos-Gastos'!D63*(1+'Datos iniciales'!$C13)</f>
        <v>1.21</v>
      </c>
      <c r="F80" s="343">
        <f>+'4 Periodo Cobro-Pago'!$D24*'3 Previsión Ingresos-Gastos'!E63*(1+'Datos iniciales'!$C13)</f>
        <v>1.21</v>
      </c>
      <c r="G80" s="343">
        <f>+'4 Periodo Cobro-Pago'!$D24*'3 Previsión Ingresos-Gastos'!F63*(1+'Datos iniciales'!$C13)</f>
        <v>1.21</v>
      </c>
      <c r="H80" s="343">
        <f>+'4 Periodo Cobro-Pago'!$D24*'3 Previsión Ingresos-Gastos'!G63*(1+'Datos iniciales'!$C13)</f>
        <v>1.21</v>
      </c>
      <c r="I80" s="343">
        <f>+'4 Periodo Cobro-Pago'!$D24*'3 Previsión Ingresos-Gastos'!H63*(1+'Datos iniciales'!$C13)</f>
        <v>1.21</v>
      </c>
      <c r="J80" s="343">
        <f>+'4 Periodo Cobro-Pago'!$D24*'3 Previsión Ingresos-Gastos'!I63*(1+'Datos iniciales'!$C13)</f>
        <v>1.21</v>
      </c>
      <c r="K80" s="343">
        <f>+'4 Periodo Cobro-Pago'!$D24*'3 Previsión Ingresos-Gastos'!J63*(1+'Datos iniciales'!$C13)</f>
        <v>1.21</v>
      </c>
      <c r="L80" s="343">
        <f>+'4 Periodo Cobro-Pago'!$D24*'3 Previsión Ingresos-Gastos'!K63*(1+'Datos iniciales'!$C13)</f>
        <v>1.21</v>
      </c>
      <c r="M80" s="343">
        <f>+'4 Periodo Cobro-Pago'!$D24*'3 Previsión Ingresos-Gastos'!L63*(1+'Datos iniciales'!$C13)</f>
        <v>1.21</v>
      </c>
      <c r="N80" s="343">
        <f>+'4 Periodo Cobro-Pago'!$D24*'3 Previsión Ingresos-Gastos'!M63*(1+'Datos iniciales'!$C13)</f>
        <v>1.21</v>
      </c>
      <c r="O80" s="343">
        <f>+'4 Periodo Cobro-Pago'!$D24*'3 Previsión Ingresos-Gastos'!N63*(1+'Datos iniciales'!$C13)</f>
        <v>1.21</v>
      </c>
      <c r="P80" s="343">
        <f>+'4 Periodo Cobro-Pago'!$D24*'3 Previsión Ingresos-Gastos'!O63*(1+'Datos iniciales'!$C13)</f>
        <v>1.21</v>
      </c>
      <c r="Q80" s="343"/>
      <c r="R80" s="343"/>
      <c r="S80" s="343"/>
      <c r="T80" s="343"/>
      <c r="U80" s="344"/>
      <c r="V80" s="343">
        <f>+SUM(D80:P80)</f>
        <v>14.520000000000003</v>
      </c>
      <c r="W80" s="343"/>
      <c r="X80" s="345"/>
      <c r="Y80" s="343">
        <f>+'4 Periodo Cobro-Pago'!D24*'3 Previsión Ingresos-Gastos'!S63*(1+'Datos iniciales'!$C13)</f>
        <v>21.78</v>
      </c>
      <c r="Z80" s="343"/>
      <c r="AA80" s="345" t="str">
        <f>+IF(SUM(Y80:Z80)='3 Previsión Ingresos-Gastos'!S63*(1+'Datos iniciales'!$C13),"OK","REVISAR")</f>
        <v>OK</v>
      </c>
      <c r="AB80" s="343">
        <f>+'4 Periodo Cobro-Pago'!D24*'3 Previsión Ingresos-Gastos'!U63*(1+'Datos iniciales'!$C13)</f>
        <v>32.67</v>
      </c>
      <c r="AC80" s="343"/>
      <c r="AD80" s="346" t="str">
        <f>+IF(SUM(AB80:AC80)='3 Previsión Ingresos-Gastos'!U63*(1+'Datos iniciales'!$C13),"OK","REVISAR")</f>
        <v>OK</v>
      </c>
    </row>
    <row r="81" spans="1:30">
      <c r="A81" s="164"/>
      <c r="B81" s="164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60"/>
      <c r="Q81" s="361"/>
      <c r="R81" s="349"/>
      <c r="S81" s="349"/>
      <c r="T81" s="349"/>
      <c r="U81" s="358"/>
      <c r="V81" s="349"/>
      <c r="W81" s="349"/>
      <c r="X81" s="362"/>
      <c r="Y81" s="361"/>
      <c r="Z81" s="349"/>
      <c r="AA81" s="362"/>
      <c r="AB81" s="361"/>
      <c r="AC81" s="349"/>
    </row>
    <row r="82" spans="1:30">
      <c r="A82" s="341" t="str">
        <f>+'4 Periodo Cobro-Pago'!B25</f>
        <v>Publicidad y propaganda (€)</v>
      </c>
      <c r="B82" s="341" t="str">
        <f>+IF(SUM(E82:T82)='3 Previsión Ingresos-Gastos'!Q64*(1+'Datos iniciales'!$C13),"OK","REVISAR")</f>
        <v>OK</v>
      </c>
      <c r="C82" s="342"/>
      <c r="D82" s="343">
        <f t="shared" ref="D82:T82" si="17">+SUM(D83:D87)</f>
        <v>0</v>
      </c>
      <c r="E82" s="343">
        <f t="shared" si="17"/>
        <v>2.42</v>
      </c>
      <c r="F82" s="343">
        <f t="shared" si="17"/>
        <v>4.84</v>
      </c>
      <c r="G82" s="343">
        <f t="shared" si="17"/>
        <v>7.26</v>
      </c>
      <c r="H82" s="343">
        <f t="shared" si="17"/>
        <v>9.68</v>
      </c>
      <c r="I82" s="343">
        <f t="shared" si="17"/>
        <v>12.1</v>
      </c>
      <c r="J82" s="343">
        <f t="shared" si="17"/>
        <v>12.1</v>
      </c>
      <c r="K82" s="343">
        <f t="shared" si="17"/>
        <v>12.1</v>
      </c>
      <c r="L82" s="343">
        <f t="shared" si="17"/>
        <v>12.1</v>
      </c>
      <c r="M82" s="343">
        <f t="shared" si="17"/>
        <v>12.1</v>
      </c>
      <c r="N82" s="343">
        <f t="shared" si="17"/>
        <v>12.1</v>
      </c>
      <c r="O82" s="343">
        <f t="shared" si="17"/>
        <v>12.1</v>
      </c>
      <c r="P82" s="343">
        <f t="shared" si="17"/>
        <v>12.1</v>
      </c>
      <c r="Q82" s="343">
        <f t="shared" si="17"/>
        <v>9.68</v>
      </c>
      <c r="R82" s="343">
        <f t="shared" si="17"/>
        <v>7.26</v>
      </c>
      <c r="S82" s="343">
        <f t="shared" si="17"/>
        <v>4.84</v>
      </c>
      <c r="T82" s="343">
        <f t="shared" si="17"/>
        <v>2.42</v>
      </c>
      <c r="U82" s="344"/>
      <c r="V82" s="343">
        <f t="shared" ref="V82:V87" si="18">+SUM(D82:P82)</f>
        <v>120.99999999999997</v>
      </c>
      <c r="W82" s="343">
        <f>+SUM(W83:W87)</f>
        <v>24.2</v>
      </c>
      <c r="X82" s="345"/>
      <c r="Y82" s="343">
        <f>+SUM(Y83:Y87)</f>
        <v>181.50000000000003</v>
      </c>
      <c r="Z82" s="343">
        <f>+SUM(Z83:Z87)</f>
        <v>36.300000000000004</v>
      </c>
      <c r="AA82" s="345" t="str">
        <f>+IF(SUM(Y82:Z82)='3 Previsión Ingresos-Gastos'!S64*(1+'Datos iniciales'!$C13),"OK","REVISAR")</f>
        <v>OK</v>
      </c>
      <c r="AB82" s="343">
        <f>+SUM(AB83:AB87)</f>
        <v>272.25</v>
      </c>
      <c r="AC82" s="343">
        <f>+SUM(AC83:AC87)</f>
        <v>54.45</v>
      </c>
      <c r="AD82" s="346" t="str">
        <f>+IF(SUM(AB82:AC82)='3 Previsión Ingresos-Gastos'!U64*(1+'Datos iniciales'!$C13),"OK","REVISAR")</f>
        <v>OK</v>
      </c>
    </row>
    <row r="83" spans="1:30" ht="14.25" thickBot="1">
      <c r="A83" s="351" t="str">
        <f>+A72</f>
        <v>Contado</v>
      </c>
      <c r="D83" s="352"/>
      <c r="E83" s="352">
        <f>+'4 Periodo Cobro-Pago'!$D25*'3 Previsión Ingresos-Gastos'!D64*(1+'Datos iniciales'!$C13)</f>
        <v>2.42</v>
      </c>
      <c r="F83" s="352">
        <f>+'4 Periodo Cobro-Pago'!$D25*'3 Previsión Ingresos-Gastos'!E64*(1+'Datos iniciales'!$C13)</f>
        <v>2.42</v>
      </c>
      <c r="G83" s="352">
        <f>+'4 Periodo Cobro-Pago'!$D25*'3 Previsión Ingresos-Gastos'!F64*(1+'Datos iniciales'!$C13)</f>
        <v>2.42</v>
      </c>
      <c r="H83" s="352">
        <f>+'4 Periodo Cobro-Pago'!$D25*'3 Previsión Ingresos-Gastos'!G64*(1+'Datos iniciales'!$C13)</f>
        <v>2.42</v>
      </c>
      <c r="I83" s="352">
        <f>+'4 Periodo Cobro-Pago'!$D25*'3 Previsión Ingresos-Gastos'!H64*(1+'Datos iniciales'!$C13)</f>
        <v>2.42</v>
      </c>
      <c r="J83" s="352">
        <f>+'4 Periodo Cobro-Pago'!$D25*'3 Previsión Ingresos-Gastos'!I64*(1+'Datos iniciales'!$C13)</f>
        <v>2.42</v>
      </c>
      <c r="K83" s="352">
        <f>+'4 Periodo Cobro-Pago'!$D25*'3 Previsión Ingresos-Gastos'!J64*(1+'Datos iniciales'!$C13)</f>
        <v>2.42</v>
      </c>
      <c r="L83" s="352">
        <f>+'4 Periodo Cobro-Pago'!$D25*'3 Previsión Ingresos-Gastos'!K64*(1+'Datos iniciales'!$C13)</f>
        <v>2.42</v>
      </c>
      <c r="M83" s="352">
        <f>+'4 Periodo Cobro-Pago'!$D25*'3 Previsión Ingresos-Gastos'!L64*(1+'Datos iniciales'!$C13)</f>
        <v>2.42</v>
      </c>
      <c r="N83" s="352">
        <f>+'4 Periodo Cobro-Pago'!$D25*'3 Previsión Ingresos-Gastos'!M64*(1+'Datos iniciales'!$C13)</f>
        <v>2.42</v>
      </c>
      <c r="O83" s="352">
        <f>+'4 Periodo Cobro-Pago'!$D25*'3 Previsión Ingresos-Gastos'!N64*(1+'Datos iniciales'!$C13)</f>
        <v>2.42</v>
      </c>
      <c r="P83" s="352">
        <f>+'4 Periodo Cobro-Pago'!$D25*'3 Previsión Ingresos-Gastos'!O64*(1+'Datos iniciales'!$C13)</f>
        <v>2.42</v>
      </c>
      <c r="Q83" s="352"/>
      <c r="R83" s="352"/>
      <c r="S83" s="352"/>
      <c r="T83" s="352"/>
      <c r="U83" s="353"/>
      <c r="V83" s="352">
        <f t="shared" si="18"/>
        <v>29.040000000000006</v>
      </c>
      <c r="W83" s="352">
        <f>+SUM(Q83:T83)</f>
        <v>0</v>
      </c>
      <c r="X83" s="354"/>
      <c r="Y83" s="352">
        <f>+'4 Periodo Cobro-Pago'!D25*'3 Previsión Ingresos-Gastos'!S64*(1+'Datos iniciales'!$C13)</f>
        <v>43.56</v>
      </c>
      <c r="Z83" s="352"/>
      <c r="AA83" s="354"/>
      <c r="AB83" s="352">
        <f>+'4 Periodo Cobro-Pago'!D25*'3 Previsión Ingresos-Gastos'!U64*(1+'Datos iniciales'!$C13)</f>
        <v>65.34</v>
      </c>
      <c r="AC83" s="352"/>
    </row>
    <row r="84" spans="1:30" ht="14.25" thickBot="1">
      <c r="A84" s="351" t="str">
        <f>+A73</f>
        <v>a 30 días</v>
      </c>
      <c r="D84" s="352"/>
      <c r="E84" s="352"/>
      <c r="F84" s="352">
        <f>+'4 Periodo Cobro-Pago'!$E25*'3 Previsión Ingresos-Gastos'!D64*(1+'Datos iniciales'!$C13)</f>
        <v>2.42</v>
      </c>
      <c r="G84" s="352">
        <f>+'4 Periodo Cobro-Pago'!$E25*'3 Previsión Ingresos-Gastos'!E64*(1+'Datos iniciales'!$C13)</f>
        <v>2.42</v>
      </c>
      <c r="H84" s="352">
        <f>+'4 Periodo Cobro-Pago'!$E25*'3 Previsión Ingresos-Gastos'!F64*(1+'Datos iniciales'!$C13)</f>
        <v>2.42</v>
      </c>
      <c r="I84" s="352">
        <f>+'4 Periodo Cobro-Pago'!$E25*'3 Previsión Ingresos-Gastos'!G64*(1+'Datos iniciales'!$C13)</f>
        <v>2.42</v>
      </c>
      <c r="J84" s="352">
        <f>+'4 Periodo Cobro-Pago'!$E25*'3 Previsión Ingresos-Gastos'!H64*(1+'Datos iniciales'!$C13)</f>
        <v>2.42</v>
      </c>
      <c r="K84" s="352">
        <f>+'4 Periodo Cobro-Pago'!$E25*'3 Previsión Ingresos-Gastos'!I64*(1+'Datos iniciales'!$C13)</f>
        <v>2.42</v>
      </c>
      <c r="L84" s="352">
        <f>+'4 Periodo Cobro-Pago'!$E25*'3 Previsión Ingresos-Gastos'!J64*(1+'Datos iniciales'!$C13)</f>
        <v>2.42</v>
      </c>
      <c r="M84" s="352">
        <f>+'4 Periodo Cobro-Pago'!$E25*'3 Previsión Ingresos-Gastos'!K64*(1+'Datos iniciales'!$C13)</f>
        <v>2.42</v>
      </c>
      <c r="N84" s="352">
        <f>+'4 Periodo Cobro-Pago'!$E25*'3 Previsión Ingresos-Gastos'!L64*(1+'Datos iniciales'!$C13)</f>
        <v>2.42</v>
      </c>
      <c r="O84" s="352">
        <f>+'4 Periodo Cobro-Pago'!$E25*'3 Previsión Ingresos-Gastos'!M64*(1+'Datos iniciales'!$C13)</f>
        <v>2.42</v>
      </c>
      <c r="P84" s="352">
        <f>+'4 Periodo Cobro-Pago'!$E25*'3 Previsión Ingresos-Gastos'!N64*(1+'Datos iniciales'!$C13)</f>
        <v>2.42</v>
      </c>
      <c r="Q84" s="352">
        <f>+'4 Periodo Cobro-Pago'!$E25*'3 Previsión Ingresos-Gastos'!O64*(1+'Datos iniciales'!$C13)</f>
        <v>2.42</v>
      </c>
      <c r="R84" s="352"/>
      <c r="S84" s="352"/>
      <c r="T84" s="352"/>
      <c r="U84" s="353"/>
      <c r="V84" s="352">
        <f t="shared" si="18"/>
        <v>26.620000000000005</v>
      </c>
      <c r="W84" s="352">
        <f>+SUM(Q84:T84)</f>
        <v>2.42</v>
      </c>
      <c r="X84" s="354"/>
      <c r="Y84" s="352">
        <f>(('4 Periodo Cobro-Pago'!E25*'3 Previsión Ingresos-Gastos'!S64*(1+'Datos iniciales'!$C13))/12)*11</f>
        <v>39.930000000000007</v>
      </c>
      <c r="Z84" s="352">
        <f>+(Y84/11)</f>
        <v>3.6300000000000008</v>
      </c>
      <c r="AA84" s="354"/>
      <c r="AB84" s="352">
        <f>(('4 Periodo Cobro-Pago'!E25*'3 Previsión Ingresos-Gastos'!U64*(1+'Datos iniciales'!$C13))/12)*11</f>
        <v>59.895000000000003</v>
      </c>
      <c r="AC84" s="352">
        <f>+(AB84/11)</f>
        <v>5.4450000000000003</v>
      </c>
    </row>
    <row r="85" spans="1:30" ht="14.25" thickBot="1">
      <c r="A85" s="351" t="str">
        <f>+A74</f>
        <v>a 60 días</v>
      </c>
      <c r="D85" s="352"/>
      <c r="E85" s="352"/>
      <c r="F85" s="352"/>
      <c r="G85" s="352">
        <f>+'4 Periodo Cobro-Pago'!$F25*'3 Previsión Ingresos-Gastos'!D64*(1+'Datos iniciales'!$C13)</f>
        <v>2.42</v>
      </c>
      <c r="H85" s="352">
        <f>+'4 Periodo Cobro-Pago'!$F25*'3 Previsión Ingresos-Gastos'!E64*(1+'Datos iniciales'!$C13)</f>
        <v>2.42</v>
      </c>
      <c r="I85" s="352">
        <f>+'4 Periodo Cobro-Pago'!$F25*'3 Previsión Ingresos-Gastos'!F64*(1+'Datos iniciales'!$C13)</f>
        <v>2.42</v>
      </c>
      <c r="J85" s="352">
        <f>+'4 Periodo Cobro-Pago'!$F25*'3 Previsión Ingresos-Gastos'!G64*(1+'Datos iniciales'!$C13)</f>
        <v>2.42</v>
      </c>
      <c r="K85" s="352">
        <f>+'4 Periodo Cobro-Pago'!$F25*'3 Previsión Ingresos-Gastos'!H64*(1+'Datos iniciales'!$C13)</f>
        <v>2.42</v>
      </c>
      <c r="L85" s="352">
        <f>+'4 Periodo Cobro-Pago'!$F25*'3 Previsión Ingresos-Gastos'!I64*(1+'Datos iniciales'!$C13)</f>
        <v>2.42</v>
      </c>
      <c r="M85" s="352">
        <f>+'4 Periodo Cobro-Pago'!$F25*'3 Previsión Ingresos-Gastos'!J64*(1+'Datos iniciales'!$C13)</f>
        <v>2.42</v>
      </c>
      <c r="N85" s="352">
        <f>+'4 Periodo Cobro-Pago'!$F25*'3 Previsión Ingresos-Gastos'!K64*(1+'Datos iniciales'!$C13)</f>
        <v>2.42</v>
      </c>
      <c r="O85" s="352">
        <f>+'4 Periodo Cobro-Pago'!$F25*'3 Previsión Ingresos-Gastos'!L64*(1+'Datos iniciales'!$C13)</f>
        <v>2.42</v>
      </c>
      <c r="P85" s="352">
        <f>+'4 Periodo Cobro-Pago'!$F25*'3 Previsión Ingresos-Gastos'!M64*(1+'Datos iniciales'!$C13)</f>
        <v>2.42</v>
      </c>
      <c r="Q85" s="352">
        <f>+'4 Periodo Cobro-Pago'!$F25*'3 Previsión Ingresos-Gastos'!N64*(1+'Datos iniciales'!$C13)</f>
        <v>2.42</v>
      </c>
      <c r="R85" s="352">
        <f>+'4 Periodo Cobro-Pago'!$F25*'3 Previsión Ingresos-Gastos'!O64*(1+'Datos iniciales'!$C13)</f>
        <v>2.42</v>
      </c>
      <c r="S85" s="352"/>
      <c r="T85" s="352"/>
      <c r="U85" s="353"/>
      <c r="V85" s="352">
        <f t="shared" si="18"/>
        <v>24.200000000000003</v>
      </c>
      <c r="W85" s="352">
        <f>+SUM(Q85:T85)</f>
        <v>4.84</v>
      </c>
      <c r="X85" s="354"/>
      <c r="Y85" s="352">
        <f>+(('4 Periodo Cobro-Pago'!F25*'3 Previsión Ingresos-Gastos'!S64*(1+'Datos iniciales'!$C13))/12)*10</f>
        <v>36.300000000000004</v>
      </c>
      <c r="Z85" s="352">
        <f>+(Y85/10)*2</f>
        <v>7.2600000000000007</v>
      </c>
      <c r="AA85" s="354"/>
      <c r="AB85" s="352">
        <f>+(('4 Periodo Cobro-Pago'!F25*'3 Previsión Ingresos-Gastos'!U64*(1+'Datos iniciales'!$C13))/12)*10</f>
        <v>54.45</v>
      </c>
      <c r="AC85" s="352">
        <f>+(AB85/10)*2</f>
        <v>10.89</v>
      </c>
    </row>
    <row r="86" spans="1:30" ht="14.25" thickBot="1">
      <c r="A86" s="351" t="str">
        <f>+A75</f>
        <v>a 90 días</v>
      </c>
      <c r="D86" s="352"/>
      <c r="E86" s="352"/>
      <c r="F86" s="352"/>
      <c r="G86" s="352"/>
      <c r="H86" s="352">
        <f>+'4 Periodo Cobro-Pago'!$G25*'3 Previsión Ingresos-Gastos'!D64*(1+'Datos iniciales'!$C13)</f>
        <v>2.42</v>
      </c>
      <c r="I86" s="352">
        <f>+'4 Periodo Cobro-Pago'!$G25*'3 Previsión Ingresos-Gastos'!E64*(1+'Datos iniciales'!$C13)</f>
        <v>2.42</v>
      </c>
      <c r="J86" s="352">
        <f>+'4 Periodo Cobro-Pago'!$G25*'3 Previsión Ingresos-Gastos'!F64*(1+'Datos iniciales'!$C13)</f>
        <v>2.42</v>
      </c>
      <c r="K86" s="352">
        <f>+'4 Periodo Cobro-Pago'!$G25*'3 Previsión Ingresos-Gastos'!G64*(1+'Datos iniciales'!$C13)</f>
        <v>2.42</v>
      </c>
      <c r="L86" s="352">
        <f>+'4 Periodo Cobro-Pago'!$G25*'3 Previsión Ingresos-Gastos'!H64*(1+'Datos iniciales'!$C13)</f>
        <v>2.42</v>
      </c>
      <c r="M86" s="352">
        <f>+'4 Periodo Cobro-Pago'!$G25*'3 Previsión Ingresos-Gastos'!I64*(1+'Datos iniciales'!$C13)</f>
        <v>2.42</v>
      </c>
      <c r="N86" s="352">
        <f>+'4 Periodo Cobro-Pago'!$G25*'3 Previsión Ingresos-Gastos'!J64*(1+'Datos iniciales'!$C13)</f>
        <v>2.42</v>
      </c>
      <c r="O86" s="352">
        <f>+'4 Periodo Cobro-Pago'!$G25*'3 Previsión Ingresos-Gastos'!K64*(1+'Datos iniciales'!$C13)</f>
        <v>2.42</v>
      </c>
      <c r="P86" s="352">
        <f>+'4 Periodo Cobro-Pago'!$G25*'3 Previsión Ingresos-Gastos'!L64*(1+'Datos iniciales'!$C13)</f>
        <v>2.42</v>
      </c>
      <c r="Q86" s="352">
        <f>+'4 Periodo Cobro-Pago'!$G25*'3 Previsión Ingresos-Gastos'!M64*(1+'Datos iniciales'!$C13)</f>
        <v>2.42</v>
      </c>
      <c r="R86" s="352">
        <f>+'4 Periodo Cobro-Pago'!$G25*'3 Previsión Ingresos-Gastos'!N64*(1+'Datos iniciales'!$C13)</f>
        <v>2.42</v>
      </c>
      <c r="S86" s="352">
        <f>+'4 Periodo Cobro-Pago'!$G25*'3 Previsión Ingresos-Gastos'!O64*(1+'Datos iniciales'!$C13)</f>
        <v>2.42</v>
      </c>
      <c r="T86" s="352"/>
      <c r="U86" s="353"/>
      <c r="V86" s="352">
        <f t="shared" si="18"/>
        <v>21.78</v>
      </c>
      <c r="W86" s="352">
        <f>+SUM(Q86:T86)</f>
        <v>7.26</v>
      </c>
      <c r="X86" s="354"/>
      <c r="Y86" s="352">
        <f>+(('4 Periodo Cobro-Pago'!G25*'3 Previsión Ingresos-Gastos'!S64*(1+'Datos iniciales'!$C13))/12)*9</f>
        <v>32.67</v>
      </c>
      <c r="Z86" s="352">
        <f>+(Y86/9)*3</f>
        <v>10.89</v>
      </c>
      <c r="AA86" s="354"/>
      <c r="AB86" s="352">
        <f>+(('4 Periodo Cobro-Pago'!G25*'3 Previsión Ingresos-Gastos'!U64*(1+'Datos iniciales'!$C13))/12)*9</f>
        <v>49.005000000000003</v>
      </c>
      <c r="AC86" s="352">
        <f>+(AB86/9)*3</f>
        <v>16.335000000000001</v>
      </c>
    </row>
    <row r="87" spans="1:30" ht="14.25" thickBot="1">
      <c r="A87" s="351" t="str">
        <f>+A76</f>
        <v>a 120 días</v>
      </c>
      <c r="D87" s="352"/>
      <c r="E87" s="352"/>
      <c r="F87" s="352"/>
      <c r="G87" s="352"/>
      <c r="H87" s="352"/>
      <c r="I87" s="352">
        <f>+'4 Periodo Cobro-Pago'!$H25*'3 Previsión Ingresos-Gastos'!D64*(1+'Datos iniciales'!$C13)</f>
        <v>2.42</v>
      </c>
      <c r="J87" s="352">
        <f>+'4 Periodo Cobro-Pago'!$H25*'3 Previsión Ingresos-Gastos'!E64*(1+'Datos iniciales'!$C13)</f>
        <v>2.42</v>
      </c>
      <c r="K87" s="352">
        <f>+'4 Periodo Cobro-Pago'!$H25*'3 Previsión Ingresos-Gastos'!F64*(1+'Datos iniciales'!$C13)</f>
        <v>2.42</v>
      </c>
      <c r="L87" s="352">
        <f>+'4 Periodo Cobro-Pago'!$H25*'3 Previsión Ingresos-Gastos'!G64*(1+'Datos iniciales'!$C13)</f>
        <v>2.42</v>
      </c>
      <c r="M87" s="352">
        <f>+'4 Periodo Cobro-Pago'!$H25*'3 Previsión Ingresos-Gastos'!H64*(1+'Datos iniciales'!$C13)</f>
        <v>2.42</v>
      </c>
      <c r="N87" s="352">
        <f>+'4 Periodo Cobro-Pago'!$H25*'3 Previsión Ingresos-Gastos'!I64*(1+'Datos iniciales'!$C13)</f>
        <v>2.42</v>
      </c>
      <c r="O87" s="352">
        <f>+'4 Periodo Cobro-Pago'!$H25*'3 Previsión Ingresos-Gastos'!J64*(1+'Datos iniciales'!$C13)</f>
        <v>2.42</v>
      </c>
      <c r="P87" s="352">
        <f>+'4 Periodo Cobro-Pago'!$H25*'3 Previsión Ingresos-Gastos'!K64*(1+'Datos iniciales'!$C13)</f>
        <v>2.42</v>
      </c>
      <c r="Q87" s="352">
        <f>+'4 Periodo Cobro-Pago'!$H25*'3 Previsión Ingresos-Gastos'!L64*(1+'Datos iniciales'!$C13)</f>
        <v>2.42</v>
      </c>
      <c r="R87" s="352">
        <f>+'4 Periodo Cobro-Pago'!$H25*'3 Previsión Ingresos-Gastos'!M64*(1+'Datos iniciales'!$C13)</f>
        <v>2.42</v>
      </c>
      <c r="S87" s="352">
        <f>+'4 Periodo Cobro-Pago'!$H25*'3 Previsión Ingresos-Gastos'!N64*(1+'Datos iniciales'!$C13)</f>
        <v>2.42</v>
      </c>
      <c r="T87" s="352">
        <f>+'4 Periodo Cobro-Pago'!$H25*'3 Previsión Ingresos-Gastos'!O64*(1+'Datos iniciales'!$C13)</f>
        <v>2.42</v>
      </c>
      <c r="U87" s="353"/>
      <c r="V87" s="352">
        <f t="shared" si="18"/>
        <v>19.36</v>
      </c>
      <c r="W87" s="352">
        <f>+SUM(Q87:T87)</f>
        <v>9.68</v>
      </c>
      <c r="X87" s="354"/>
      <c r="Y87" s="352">
        <f>+(('4 Periodo Cobro-Pago'!H25*'3 Previsión Ingresos-Gastos'!S64*(1+'Datos iniciales'!$C13))/12)*8</f>
        <v>29.040000000000003</v>
      </c>
      <c r="Z87" s="352">
        <f>+(Y87/8)*4</f>
        <v>14.520000000000001</v>
      </c>
      <c r="AA87" s="354"/>
      <c r="AB87" s="352">
        <f>+(('4 Periodo Cobro-Pago'!H25*'3 Previsión Ingresos-Gastos'!U64*(1+'Datos iniciales'!$C13))/12)*8</f>
        <v>43.56</v>
      </c>
      <c r="AC87" s="352">
        <f>+(AB87/8)*4</f>
        <v>21.78</v>
      </c>
    </row>
    <row r="88" spans="1:30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347"/>
      <c r="Q88" s="348"/>
      <c r="R88" s="163"/>
      <c r="S88" s="163"/>
      <c r="T88" s="163"/>
      <c r="U88" s="165"/>
      <c r="V88" s="349"/>
      <c r="W88" s="163"/>
      <c r="X88" s="355"/>
      <c r="Y88" s="348"/>
      <c r="Z88" s="163"/>
      <c r="AA88" s="355"/>
      <c r="AB88" s="348"/>
      <c r="AC88" s="163"/>
    </row>
    <row r="89" spans="1:30">
      <c r="A89" s="341" t="str">
        <f>+'4 Periodo Cobro-Pago'!B26</f>
        <v>Suministros (€)</v>
      </c>
      <c r="B89" s="341" t="str">
        <f>+IF(SUM(E89:T89)='3 Previsión Ingresos-Gastos'!Q65*(1+'Datos iniciales'!$C13),"OK","REVISAR")</f>
        <v>OK</v>
      </c>
      <c r="C89" s="342"/>
      <c r="D89" s="343"/>
      <c r="E89" s="343">
        <f>+'4 Periodo Cobro-Pago'!$D26*'3 Previsión Ingresos-Gastos'!D65*(1+'Datos iniciales'!$C13)</f>
        <v>9.68</v>
      </c>
      <c r="F89" s="343">
        <f>+'4 Periodo Cobro-Pago'!$D26*'3 Previsión Ingresos-Gastos'!E65*(1+'Datos iniciales'!$C13)</f>
        <v>9.68</v>
      </c>
      <c r="G89" s="343">
        <f>+'4 Periodo Cobro-Pago'!$D26*'3 Previsión Ingresos-Gastos'!F65*(1+'Datos iniciales'!$C13)</f>
        <v>9.68</v>
      </c>
      <c r="H89" s="343">
        <f>+'4 Periodo Cobro-Pago'!$D26*'3 Previsión Ingresos-Gastos'!G65*(1+'Datos iniciales'!$C13)</f>
        <v>9.68</v>
      </c>
      <c r="I89" s="343">
        <f>+'4 Periodo Cobro-Pago'!$D26*'3 Previsión Ingresos-Gastos'!H65*(1+'Datos iniciales'!$C13)</f>
        <v>9.68</v>
      </c>
      <c r="J89" s="343">
        <f>+'4 Periodo Cobro-Pago'!$D26*'3 Previsión Ingresos-Gastos'!I65*(1+'Datos iniciales'!$C13)</f>
        <v>9.68</v>
      </c>
      <c r="K89" s="343">
        <f>+'4 Periodo Cobro-Pago'!$D26*'3 Previsión Ingresos-Gastos'!J65*(1+'Datos iniciales'!$C13)</f>
        <v>9.68</v>
      </c>
      <c r="L89" s="343">
        <f>+'4 Periodo Cobro-Pago'!$D26*'3 Previsión Ingresos-Gastos'!K65*(1+'Datos iniciales'!$C13)</f>
        <v>9.68</v>
      </c>
      <c r="M89" s="343">
        <f>+'4 Periodo Cobro-Pago'!$D26*'3 Previsión Ingresos-Gastos'!L65*(1+'Datos iniciales'!$C13)</f>
        <v>9.68</v>
      </c>
      <c r="N89" s="343">
        <f>+'4 Periodo Cobro-Pago'!$D26*'3 Previsión Ingresos-Gastos'!M65*(1+'Datos iniciales'!$C13)</f>
        <v>9.68</v>
      </c>
      <c r="O89" s="343">
        <f>+'4 Periodo Cobro-Pago'!$D26*'3 Previsión Ingresos-Gastos'!N65*(1+'Datos iniciales'!$C13)</f>
        <v>9.68</v>
      </c>
      <c r="P89" s="343">
        <f>+'4 Periodo Cobro-Pago'!$D26*'3 Previsión Ingresos-Gastos'!O65*(1+'Datos iniciales'!$C13)</f>
        <v>9.68</v>
      </c>
      <c r="Q89" s="343"/>
      <c r="R89" s="343"/>
      <c r="S89" s="343"/>
      <c r="T89" s="343"/>
      <c r="U89" s="344"/>
      <c r="V89" s="343">
        <f>+SUM(D89:P89)</f>
        <v>116.16000000000003</v>
      </c>
      <c r="W89" s="343"/>
      <c r="X89" s="345"/>
      <c r="Y89" s="343">
        <f>+'4 Periodo Cobro-Pago'!D26*'3 Previsión Ingresos-Gastos'!S65*(1+'Datos iniciales'!$C13)</f>
        <v>174.24</v>
      </c>
      <c r="Z89" s="343"/>
      <c r="AA89" s="345" t="str">
        <f>+IF(SUM(Y89:Z89)='3 Previsión Ingresos-Gastos'!S65*(1+'Datos iniciales'!$C13),"OK","REVISAR")</f>
        <v>OK</v>
      </c>
      <c r="AB89" s="343">
        <f>+'4 Periodo Cobro-Pago'!D26*'3 Previsión Ingresos-Gastos'!U65*(1+'Datos iniciales'!$C13)</f>
        <v>261.36</v>
      </c>
      <c r="AC89" s="343"/>
      <c r="AD89" s="346" t="str">
        <f>+IF(SUM(AB89:AC89)='3 Previsión Ingresos-Gastos'!U65*(1+'Datos iniciales'!$C13),"OK","REVISAR")</f>
        <v>OK</v>
      </c>
    </row>
    <row r="90" spans="1:30">
      <c r="A90" s="164"/>
      <c r="B90" s="164"/>
      <c r="D90" s="163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60"/>
      <c r="Q90" s="348"/>
      <c r="R90" s="163"/>
      <c r="S90" s="163"/>
      <c r="T90" s="163"/>
      <c r="U90" s="165"/>
      <c r="V90" s="349"/>
      <c r="W90" s="163"/>
      <c r="X90" s="355"/>
      <c r="Y90" s="348"/>
      <c r="Z90" s="163"/>
      <c r="AA90" s="355"/>
      <c r="AB90" s="348"/>
      <c r="AC90" s="163"/>
    </row>
    <row r="91" spans="1:30">
      <c r="A91" s="341" t="str">
        <f>+'4 Periodo Cobro-Pago'!B27</f>
        <v>Otros gastos (€)</v>
      </c>
      <c r="B91" s="341" t="str">
        <f>+IF(SUM(E91:T91)='3 Previsión Ingresos-Gastos'!Q66*(1+'Datos iniciales'!$C13),"OK","REVISAR")</f>
        <v>OK</v>
      </c>
      <c r="C91" s="342"/>
      <c r="D91" s="343">
        <f t="shared" ref="D91:T91" si="19">+SUM(D92:D96)</f>
        <v>0</v>
      </c>
      <c r="E91" s="343">
        <f>+SUM(E92:E96)</f>
        <v>1.6940000000000002</v>
      </c>
      <c r="F91" s="343">
        <f t="shared" si="19"/>
        <v>3.3880000000000003</v>
      </c>
      <c r="G91" s="343">
        <f t="shared" si="19"/>
        <v>5.0820000000000007</v>
      </c>
      <c r="H91" s="343">
        <f t="shared" si="19"/>
        <v>6.7760000000000007</v>
      </c>
      <c r="I91" s="343">
        <f>+SUM(I92:I96)</f>
        <v>8.4700000000000006</v>
      </c>
      <c r="J91" s="343">
        <f t="shared" si="19"/>
        <v>8.4700000000000006</v>
      </c>
      <c r="K91" s="343">
        <f t="shared" si="19"/>
        <v>8.4700000000000006</v>
      </c>
      <c r="L91" s="343">
        <f t="shared" si="19"/>
        <v>8.4700000000000006</v>
      </c>
      <c r="M91" s="343">
        <f t="shared" si="19"/>
        <v>8.4700000000000006</v>
      </c>
      <c r="N91" s="343">
        <f t="shared" si="19"/>
        <v>8.4700000000000006</v>
      </c>
      <c r="O91" s="343">
        <f t="shared" si="19"/>
        <v>8.4700000000000006</v>
      </c>
      <c r="P91" s="343">
        <f t="shared" si="19"/>
        <v>8.4700000000000006</v>
      </c>
      <c r="Q91" s="343">
        <f t="shared" si="19"/>
        <v>6.7760000000000007</v>
      </c>
      <c r="R91" s="343">
        <f t="shared" si="19"/>
        <v>5.0820000000000007</v>
      </c>
      <c r="S91" s="343">
        <f t="shared" si="19"/>
        <v>3.3880000000000003</v>
      </c>
      <c r="T91" s="343">
        <f t="shared" si="19"/>
        <v>1.6940000000000002</v>
      </c>
      <c r="U91" s="344"/>
      <c r="V91" s="449">
        <f t="shared" ref="V91:V96" si="20">+SUM(D91:P91)</f>
        <v>84.7</v>
      </c>
      <c r="W91" s="343">
        <f>+SUM(W92:W96)</f>
        <v>16.940000000000001</v>
      </c>
      <c r="X91" s="345"/>
      <c r="Y91" s="449">
        <f>+SUM(Y92:Y96)</f>
        <v>127.05</v>
      </c>
      <c r="Z91" s="343">
        <f>+SUM(Z92:Z96)</f>
        <v>25.409999999999997</v>
      </c>
      <c r="AA91" s="345" t="str">
        <f>+IF(SUM(Y91:Z91)='3 Previsión Ingresos-Gastos'!S66*(1+'Datos iniciales'!$C13),"OK","REVISAR")</f>
        <v>OK</v>
      </c>
      <c r="AB91" s="449">
        <f>+SUM(AB92:AB96)</f>
        <v>190.57500000000005</v>
      </c>
      <c r="AC91" s="343">
        <f>+SUM(AC92:AC96)</f>
        <v>38.115000000000009</v>
      </c>
      <c r="AD91" s="346" t="str">
        <f>+IF(SUM(AB91:AC91)='3 Previsión Ingresos-Gastos'!U66*(1+'Datos iniciales'!$C13),"OK","REVISAR")</f>
        <v>OK</v>
      </c>
    </row>
    <row r="92" spans="1:30" ht="14.25" thickBot="1">
      <c r="A92" s="351" t="str">
        <f>+A83</f>
        <v>Contado</v>
      </c>
      <c r="D92" s="352"/>
      <c r="E92" s="352">
        <f>+'4 Periodo Cobro-Pago'!$D27*'3 Previsión Ingresos-Gastos'!D66*(1+'Datos iniciales'!$C13)</f>
        <v>1.6940000000000002</v>
      </c>
      <c r="F92" s="352">
        <f>+'4 Periodo Cobro-Pago'!$D27*'3 Previsión Ingresos-Gastos'!E66*(1+'Datos iniciales'!$C13)</f>
        <v>1.6940000000000002</v>
      </c>
      <c r="G92" s="352">
        <f>+'4 Periodo Cobro-Pago'!$D27*'3 Previsión Ingresos-Gastos'!F66*(1+'Datos iniciales'!$C13)</f>
        <v>1.6940000000000002</v>
      </c>
      <c r="H92" s="352">
        <f>+'4 Periodo Cobro-Pago'!$D27*'3 Previsión Ingresos-Gastos'!G66*(1+'Datos iniciales'!$C13)</f>
        <v>1.6940000000000002</v>
      </c>
      <c r="I92" s="352">
        <f>+'4 Periodo Cobro-Pago'!$D27*'3 Previsión Ingresos-Gastos'!H66*(1+'Datos iniciales'!$C13)</f>
        <v>1.6940000000000002</v>
      </c>
      <c r="J92" s="352">
        <f>+'4 Periodo Cobro-Pago'!$D27*'3 Previsión Ingresos-Gastos'!I66*(1+'Datos iniciales'!$C13)</f>
        <v>1.6940000000000002</v>
      </c>
      <c r="K92" s="352">
        <f>+'4 Periodo Cobro-Pago'!$D27*'3 Previsión Ingresos-Gastos'!J66*(1+'Datos iniciales'!$C13)</f>
        <v>1.6940000000000002</v>
      </c>
      <c r="L92" s="352">
        <f>+'4 Periodo Cobro-Pago'!$D27*'3 Previsión Ingresos-Gastos'!K66*(1+'Datos iniciales'!$C13)</f>
        <v>1.6940000000000002</v>
      </c>
      <c r="M92" s="352">
        <f>+'4 Periodo Cobro-Pago'!$D27*'3 Previsión Ingresos-Gastos'!L66*(1+'Datos iniciales'!$C13)</f>
        <v>1.6940000000000002</v>
      </c>
      <c r="N92" s="352">
        <f>+'4 Periodo Cobro-Pago'!$D27*'3 Previsión Ingresos-Gastos'!M66*(1+'Datos iniciales'!$C13)</f>
        <v>1.6940000000000002</v>
      </c>
      <c r="O92" s="352">
        <f>+'4 Periodo Cobro-Pago'!$D27*'3 Previsión Ingresos-Gastos'!N66*(1+'Datos iniciales'!$C13)</f>
        <v>1.6940000000000002</v>
      </c>
      <c r="P92" s="352">
        <f>+'4 Periodo Cobro-Pago'!$D27*'3 Previsión Ingresos-Gastos'!O66*(1+'Datos iniciales'!$C13)</f>
        <v>1.6940000000000002</v>
      </c>
      <c r="Q92" s="352"/>
      <c r="R92" s="352"/>
      <c r="S92" s="352"/>
      <c r="T92" s="352"/>
      <c r="U92" s="353"/>
      <c r="V92" s="352">
        <f t="shared" si="20"/>
        <v>20.328000000000003</v>
      </c>
      <c r="W92" s="352">
        <f>+SUM(Q92:T92)</f>
        <v>0</v>
      </c>
      <c r="X92" s="354"/>
      <c r="Y92" s="352">
        <f>+'4 Periodo Cobro-Pago'!D27*'3 Previsión Ingresos-Gastos'!S66*(1+'Datos iniciales'!$C13)</f>
        <v>30.492000000000001</v>
      </c>
      <c r="Z92" s="352"/>
      <c r="AA92" s="354"/>
      <c r="AB92" s="352">
        <f>+'4 Periodo Cobro-Pago'!D27*'3 Previsión Ingresos-Gastos'!U66*(1+'Datos iniciales'!$C13)</f>
        <v>45.738000000000007</v>
      </c>
      <c r="AC92" s="352"/>
    </row>
    <row r="93" spans="1:30" ht="14.25" thickBot="1">
      <c r="A93" s="351" t="str">
        <f>+A84</f>
        <v>a 30 días</v>
      </c>
      <c r="D93" s="352"/>
      <c r="E93" s="352"/>
      <c r="F93" s="352">
        <f>+'4 Periodo Cobro-Pago'!$E27*'3 Previsión Ingresos-Gastos'!D66*(1+'Datos iniciales'!$C13)</f>
        <v>1.6940000000000002</v>
      </c>
      <c r="G93" s="352">
        <f>+'4 Periodo Cobro-Pago'!$E27*'3 Previsión Ingresos-Gastos'!E66*(1+'Datos iniciales'!$C13)</f>
        <v>1.6940000000000002</v>
      </c>
      <c r="H93" s="352">
        <f>+'4 Periodo Cobro-Pago'!$E27*'3 Previsión Ingresos-Gastos'!F66*(1+'Datos iniciales'!$C13)</f>
        <v>1.6940000000000002</v>
      </c>
      <c r="I93" s="352">
        <f>+'4 Periodo Cobro-Pago'!$E27*'3 Previsión Ingresos-Gastos'!G66*(1+'Datos iniciales'!$C13)</f>
        <v>1.6940000000000002</v>
      </c>
      <c r="J93" s="352">
        <f>+'4 Periodo Cobro-Pago'!$E27*'3 Previsión Ingresos-Gastos'!H66*(1+'Datos iniciales'!$C13)</f>
        <v>1.6940000000000002</v>
      </c>
      <c r="K93" s="352">
        <f>+'4 Periodo Cobro-Pago'!$E27*'3 Previsión Ingresos-Gastos'!I66*(1+'Datos iniciales'!$C13)</f>
        <v>1.6940000000000002</v>
      </c>
      <c r="L93" s="352">
        <f>+'4 Periodo Cobro-Pago'!$E27*'3 Previsión Ingresos-Gastos'!J66*(1+'Datos iniciales'!$C13)</f>
        <v>1.6940000000000002</v>
      </c>
      <c r="M93" s="352">
        <f>+'4 Periodo Cobro-Pago'!$E27*'3 Previsión Ingresos-Gastos'!K66*(1+'Datos iniciales'!$C13)</f>
        <v>1.6940000000000002</v>
      </c>
      <c r="N93" s="352">
        <f>+'4 Periodo Cobro-Pago'!$E27*'3 Previsión Ingresos-Gastos'!L66*(1+'Datos iniciales'!$C13)</f>
        <v>1.6940000000000002</v>
      </c>
      <c r="O93" s="352">
        <f>+'4 Periodo Cobro-Pago'!$E27*'3 Previsión Ingresos-Gastos'!M66*(1+'Datos iniciales'!$C13)</f>
        <v>1.6940000000000002</v>
      </c>
      <c r="P93" s="352">
        <f>+'4 Periodo Cobro-Pago'!$E27*'3 Previsión Ingresos-Gastos'!N66*(1+'Datos iniciales'!$C13)</f>
        <v>1.6940000000000002</v>
      </c>
      <c r="Q93" s="352">
        <f>+'4 Periodo Cobro-Pago'!$E27*'3 Previsión Ingresos-Gastos'!O66*(1+'Datos iniciales'!$C13)</f>
        <v>1.6940000000000002</v>
      </c>
      <c r="R93" s="352"/>
      <c r="S93" s="352"/>
      <c r="T93" s="352"/>
      <c r="U93" s="353"/>
      <c r="V93" s="352">
        <f t="shared" si="20"/>
        <v>18.634000000000004</v>
      </c>
      <c r="W93" s="352">
        <f>+SUM(Q93:T93)</f>
        <v>1.6940000000000002</v>
      </c>
      <c r="X93" s="354"/>
      <c r="Y93" s="352">
        <f>+(('4 Periodo Cobro-Pago'!E27*'3 Previsión Ingresos-Gastos'!S66*(1+'Datos iniciales'!$C13))/12)*11</f>
        <v>27.951000000000001</v>
      </c>
      <c r="Z93" s="352">
        <f>+(Y93/11)</f>
        <v>2.5409999999999999</v>
      </c>
      <c r="AA93" s="354"/>
      <c r="AB93" s="352">
        <f>+(('4 Periodo Cobro-Pago'!E27*'3 Previsión Ingresos-Gastos'!U66*(1+'Datos iniciales'!$C13))/12)*11</f>
        <v>41.926500000000004</v>
      </c>
      <c r="AC93" s="352">
        <f>+(AB93/11)</f>
        <v>3.8115000000000006</v>
      </c>
    </row>
    <row r="94" spans="1:30" ht="14.25" thickBot="1">
      <c r="A94" s="351" t="str">
        <f>+A85</f>
        <v>a 60 días</v>
      </c>
      <c r="D94" s="352"/>
      <c r="E94" s="352"/>
      <c r="F94" s="352"/>
      <c r="G94" s="352">
        <f>+'4 Periodo Cobro-Pago'!$F27*'3 Previsión Ingresos-Gastos'!D66*(1+'Datos iniciales'!$C13)</f>
        <v>1.6940000000000002</v>
      </c>
      <c r="H94" s="352">
        <f>+'4 Periodo Cobro-Pago'!$F27*'3 Previsión Ingresos-Gastos'!E66*(1+'Datos iniciales'!$C13)</f>
        <v>1.6940000000000002</v>
      </c>
      <c r="I94" s="352">
        <f>+'4 Periodo Cobro-Pago'!$F27*'3 Previsión Ingresos-Gastos'!F66*(1+'Datos iniciales'!$C13)</f>
        <v>1.6940000000000002</v>
      </c>
      <c r="J94" s="352">
        <f>+'4 Periodo Cobro-Pago'!$F27*'3 Previsión Ingresos-Gastos'!G66*(1+'Datos iniciales'!$C13)</f>
        <v>1.6940000000000002</v>
      </c>
      <c r="K94" s="352">
        <f>+'4 Periodo Cobro-Pago'!$F27*'3 Previsión Ingresos-Gastos'!H66*(1+'Datos iniciales'!$C13)</f>
        <v>1.6940000000000002</v>
      </c>
      <c r="L94" s="352">
        <f>+'4 Periodo Cobro-Pago'!$F27*'3 Previsión Ingresos-Gastos'!I66*(1+'Datos iniciales'!$C13)</f>
        <v>1.6940000000000002</v>
      </c>
      <c r="M94" s="352">
        <f>+'4 Periodo Cobro-Pago'!$F27*'3 Previsión Ingresos-Gastos'!J66*(1+'Datos iniciales'!$C13)</f>
        <v>1.6940000000000002</v>
      </c>
      <c r="N94" s="352">
        <f>+'4 Periodo Cobro-Pago'!$F27*'3 Previsión Ingresos-Gastos'!K66*(1+'Datos iniciales'!$C13)</f>
        <v>1.6940000000000002</v>
      </c>
      <c r="O94" s="352">
        <f>+'4 Periodo Cobro-Pago'!$F27*'3 Previsión Ingresos-Gastos'!L66*(1+'Datos iniciales'!$C13)</f>
        <v>1.6940000000000002</v>
      </c>
      <c r="P94" s="352">
        <f>+'4 Periodo Cobro-Pago'!$F27*'3 Previsión Ingresos-Gastos'!M66*(1+'Datos iniciales'!$C13)</f>
        <v>1.6940000000000002</v>
      </c>
      <c r="Q94" s="352">
        <f>+'4 Periodo Cobro-Pago'!$F27*'3 Previsión Ingresos-Gastos'!N66*(1+'Datos iniciales'!$C13)</f>
        <v>1.6940000000000002</v>
      </c>
      <c r="R94" s="352">
        <f>+'4 Periodo Cobro-Pago'!$F27*'3 Previsión Ingresos-Gastos'!O66*(1+'Datos iniciales'!$C13)</f>
        <v>1.6940000000000002</v>
      </c>
      <c r="S94" s="352"/>
      <c r="T94" s="352"/>
      <c r="U94" s="353"/>
      <c r="V94" s="352">
        <f t="shared" si="20"/>
        <v>16.940000000000005</v>
      </c>
      <c r="W94" s="352">
        <f>+SUM(Q94:T94)</f>
        <v>3.3880000000000003</v>
      </c>
      <c r="X94" s="354"/>
      <c r="Y94" s="352">
        <f>+(('4 Periodo Cobro-Pago'!F27*'3 Previsión Ingresos-Gastos'!S66*(1+'Datos iniciales'!$C13))/12)*10</f>
        <v>25.41</v>
      </c>
      <c r="Z94" s="352">
        <f>+(Y94/10)*2</f>
        <v>5.0819999999999999</v>
      </c>
      <c r="AA94" s="354"/>
      <c r="AB94" s="352">
        <f>+(('4 Periodo Cobro-Pago'!F27*'3 Previsión Ingresos-Gastos'!U66*(1+'Datos iniciales'!$C13))/12)*10</f>
        <v>38.115000000000009</v>
      </c>
      <c r="AC94" s="352">
        <f>+(AB94/10)*2</f>
        <v>7.623000000000002</v>
      </c>
    </row>
    <row r="95" spans="1:30" ht="14.25" thickBot="1">
      <c r="A95" s="351" t="str">
        <f>+A86</f>
        <v>a 90 días</v>
      </c>
      <c r="D95" s="352"/>
      <c r="E95" s="352"/>
      <c r="F95" s="352"/>
      <c r="G95" s="352"/>
      <c r="H95" s="352">
        <f>+'4 Periodo Cobro-Pago'!$G27*'3 Previsión Ingresos-Gastos'!D66*(1+'Datos iniciales'!$C13)</f>
        <v>1.6940000000000002</v>
      </c>
      <c r="I95" s="352">
        <f>+'4 Periodo Cobro-Pago'!$G27*'3 Previsión Ingresos-Gastos'!E66*(1+'Datos iniciales'!$C13)</f>
        <v>1.6940000000000002</v>
      </c>
      <c r="J95" s="352">
        <f>+'4 Periodo Cobro-Pago'!$G27*'3 Previsión Ingresos-Gastos'!F66*(1+'Datos iniciales'!$C13)</f>
        <v>1.6940000000000002</v>
      </c>
      <c r="K95" s="352">
        <f>+'4 Periodo Cobro-Pago'!$G27*'3 Previsión Ingresos-Gastos'!G66*(1+'Datos iniciales'!$C13)</f>
        <v>1.6940000000000002</v>
      </c>
      <c r="L95" s="352">
        <f>+'4 Periodo Cobro-Pago'!$G27*'3 Previsión Ingresos-Gastos'!H66*(1+'Datos iniciales'!$C13)</f>
        <v>1.6940000000000002</v>
      </c>
      <c r="M95" s="352">
        <f>+'4 Periodo Cobro-Pago'!$G27*'3 Previsión Ingresos-Gastos'!I66*(1+'Datos iniciales'!$C13)</f>
        <v>1.6940000000000002</v>
      </c>
      <c r="N95" s="352">
        <f>+'4 Periodo Cobro-Pago'!$G27*'3 Previsión Ingresos-Gastos'!J66*(1+'Datos iniciales'!$C13)</f>
        <v>1.6940000000000002</v>
      </c>
      <c r="O95" s="352">
        <f>+'4 Periodo Cobro-Pago'!$G27*'3 Previsión Ingresos-Gastos'!K66*(1+'Datos iniciales'!$C13)</f>
        <v>1.6940000000000002</v>
      </c>
      <c r="P95" s="352">
        <f>+'4 Periodo Cobro-Pago'!$G27*'3 Previsión Ingresos-Gastos'!L66*(1+'Datos iniciales'!$C13)</f>
        <v>1.6940000000000002</v>
      </c>
      <c r="Q95" s="352">
        <f>+'4 Periodo Cobro-Pago'!$G27*'3 Previsión Ingresos-Gastos'!M66*(1+'Datos iniciales'!$C13)</f>
        <v>1.6940000000000002</v>
      </c>
      <c r="R95" s="352">
        <f>+'4 Periodo Cobro-Pago'!$G27*'3 Previsión Ingresos-Gastos'!N66*(1+'Datos iniciales'!$C13)</f>
        <v>1.6940000000000002</v>
      </c>
      <c r="S95" s="352">
        <f>+'4 Periodo Cobro-Pago'!$G27*'3 Previsión Ingresos-Gastos'!O66*(1+'Datos iniciales'!$C13)</f>
        <v>1.6940000000000002</v>
      </c>
      <c r="T95" s="352"/>
      <c r="U95" s="353"/>
      <c r="V95" s="352">
        <f t="shared" si="20"/>
        <v>15.246000000000004</v>
      </c>
      <c r="W95" s="352">
        <f>+SUM(Q95:T95)</f>
        <v>5.0820000000000007</v>
      </c>
      <c r="X95" s="354"/>
      <c r="Y95" s="352">
        <f>+(('4 Periodo Cobro-Pago'!G27*'3 Previsión Ingresos-Gastos'!S66*(1+'Datos iniciales'!$C13))/12)*9</f>
        <v>22.869</v>
      </c>
      <c r="Z95" s="352">
        <f>+(Y95/9)*3</f>
        <v>7.6229999999999993</v>
      </c>
      <c r="AA95" s="354"/>
      <c r="AB95" s="352">
        <f>+(('4 Periodo Cobro-Pago'!G27*'3 Previsión Ingresos-Gastos'!U66*(1+'Datos iniciales'!$C13))/12)*9</f>
        <v>34.303500000000007</v>
      </c>
      <c r="AC95" s="352">
        <f>+(AB95/9)*3</f>
        <v>11.434500000000002</v>
      </c>
    </row>
    <row r="96" spans="1:30" ht="14.25" thickBot="1">
      <c r="A96" s="351" t="str">
        <f>+A87</f>
        <v>a 120 días</v>
      </c>
      <c r="D96" s="352"/>
      <c r="E96" s="352"/>
      <c r="F96" s="352"/>
      <c r="G96" s="352"/>
      <c r="H96" s="352"/>
      <c r="I96" s="352">
        <f>+'4 Periodo Cobro-Pago'!$H27*'3 Previsión Ingresos-Gastos'!D66*(1+'Datos iniciales'!$C13)</f>
        <v>1.6940000000000002</v>
      </c>
      <c r="J96" s="352">
        <f>+'4 Periodo Cobro-Pago'!$H27*'3 Previsión Ingresos-Gastos'!E66*(1+'Datos iniciales'!$C13)</f>
        <v>1.6940000000000002</v>
      </c>
      <c r="K96" s="352">
        <f>+'4 Periodo Cobro-Pago'!$H27*'3 Previsión Ingresos-Gastos'!F66*(1+'Datos iniciales'!$C13)</f>
        <v>1.6940000000000002</v>
      </c>
      <c r="L96" s="352">
        <f>+'4 Periodo Cobro-Pago'!$H27*'3 Previsión Ingresos-Gastos'!G66*(1+'Datos iniciales'!$C13)</f>
        <v>1.6940000000000002</v>
      </c>
      <c r="M96" s="352">
        <f>+'4 Periodo Cobro-Pago'!$H27*'3 Previsión Ingresos-Gastos'!H66*(1+'Datos iniciales'!$C13)</f>
        <v>1.6940000000000002</v>
      </c>
      <c r="N96" s="352">
        <f>+'4 Periodo Cobro-Pago'!$H27*'3 Previsión Ingresos-Gastos'!I66*(1+'Datos iniciales'!$C13)</f>
        <v>1.6940000000000002</v>
      </c>
      <c r="O96" s="352">
        <f>+'4 Periodo Cobro-Pago'!$H27*'3 Previsión Ingresos-Gastos'!J66*(1+'Datos iniciales'!$C13)</f>
        <v>1.6940000000000002</v>
      </c>
      <c r="P96" s="352">
        <f>+'4 Periodo Cobro-Pago'!$H27*'3 Previsión Ingresos-Gastos'!K66*(1+'Datos iniciales'!$C13)</f>
        <v>1.6940000000000002</v>
      </c>
      <c r="Q96" s="352">
        <f>+'4 Periodo Cobro-Pago'!$H27*'3 Previsión Ingresos-Gastos'!L66*(1+'Datos iniciales'!$C13)</f>
        <v>1.6940000000000002</v>
      </c>
      <c r="R96" s="352">
        <f>+'4 Periodo Cobro-Pago'!$H27*'3 Previsión Ingresos-Gastos'!M66*(1+'Datos iniciales'!$C13)</f>
        <v>1.6940000000000002</v>
      </c>
      <c r="S96" s="352">
        <f>+'4 Periodo Cobro-Pago'!$H27*'3 Previsión Ingresos-Gastos'!N66*(1+'Datos iniciales'!$C13)</f>
        <v>1.6940000000000002</v>
      </c>
      <c r="T96" s="352">
        <f>+'4 Periodo Cobro-Pago'!$H27*'3 Previsión Ingresos-Gastos'!O66*(1+'Datos iniciales'!$C13)</f>
        <v>1.6940000000000002</v>
      </c>
      <c r="U96" s="353"/>
      <c r="V96" s="352">
        <f t="shared" si="20"/>
        <v>13.552000000000003</v>
      </c>
      <c r="W96" s="352">
        <f>+SUM(Q96:T96)</f>
        <v>6.7760000000000007</v>
      </c>
      <c r="X96" s="354"/>
      <c r="Y96" s="352">
        <f>+(('4 Periodo Cobro-Pago'!H27*'3 Previsión Ingresos-Gastos'!S66*(1+'Datos iniciales'!$C13))/12)*8</f>
        <v>20.327999999999999</v>
      </c>
      <c r="Z96" s="352">
        <f>+(Y96/8)*4</f>
        <v>10.164</v>
      </c>
      <c r="AA96" s="354"/>
      <c r="AB96" s="352">
        <f>+(('4 Periodo Cobro-Pago'!H27*'3 Previsión Ingresos-Gastos'!U66*(1+'Datos iniciales'!$C13))/12)*8</f>
        <v>30.492000000000004</v>
      </c>
      <c r="AC96" s="352">
        <f>+(AB96/8)*4</f>
        <v>15.246000000000002</v>
      </c>
    </row>
    <row r="97" spans="1:30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347"/>
      <c r="Q97" s="348"/>
      <c r="R97" s="163"/>
      <c r="S97" s="163"/>
      <c r="T97" s="163"/>
      <c r="U97" s="165"/>
      <c r="V97" s="349"/>
      <c r="W97" s="163"/>
      <c r="X97" s="355"/>
      <c r="Y97" s="348"/>
      <c r="Z97" s="163"/>
      <c r="AA97" s="355"/>
      <c r="AB97" s="348"/>
      <c r="AC97" s="163"/>
    </row>
    <row r="98" spans="1:30">
      <c r="A98" s="341" t="str">
        <f>+'4 Periodo Cobro-Pago'!B28</f>
        <v>Tributos no estatales (€)</v>
      </c>
      <c r="B98" s="341" t="str">
        <f>+IF(SUM(E98:T98)='3 Previsión Ingresos-Gastos'!Q67,"OK","REVISAR")</f>
        <v>OK</v>
      </c>
      <c r="C98" s="342"/>
      <c r="D98" s="343"/>
      <c r="E98" s="343">
        <f>+'4 Periodo Cobro-Pago'!$D28*'3 Previsión Ingresos-Gastos'!D67</f>
        <v>2</v>
      </c>
      <c r="F98" s="343">
        <f>+'4 Periodo Cobro-Pago'!$D28*'3 Previsión Ingresos-Gastos'!E67</f>
        <v>2</v>
      </c>
      <c r="G98" s="343">
        <f>+'4 Periodo Cobro-Pago'!$D28*'3 Previsión Ingresos-Gastos'!F67</f>
        <v>2</v>
      </c>
      <c r="H98" s="343">
        <f>+'4 Periodo Cobro-Pago'!$D28*'3 Previsión Ingresos-Gastos'!G67</f>
        <v>2</v>
      </c>
      <c r="I98" s="343">
        <f>+'4 Periodo Cobro-Pago'!$D28*'3 Previsión Ingresos-Gastos'!H67</f>
        <v>2</v>
      </c>
      <c r="J98" s="343">
        <f>+'4 Periodo Cobro-Pago'!$D28*'3 Previsión Ingresos-Gastos'!I67</f>
        <v>2</v>
      </c>
      <c r="K98" s="343">
        <f>+'4 Periodo Cobro-Pago'!$D28*'3 Previsión Ingresos-Gastos'!J67</f>
        <v>2</v>
      </c>
      <c r="L98" s="343">
        <f>+'4 Periodo Cobro-Pago'!$D28*'3 Previsión Ingresos-Gastos'!K67</f>
        <v>2</v>
      </c>
      <c r="M98" s="343">
        <f>+'4 Periodo Cobro-Pago'!$D28*'3 Previsión Ingresos-Gastos'!L67</f>
        <v>2</v>
      </c>
      <c r="N98" s="343">
        <f>+'4 Periodo Cobro-Pago'!$D28*'3 Previsión Ingresos-Gastos'!M67</f>
        <v>2</v>
      </c>
      <c r="O98" s="343">
        <f>+'4 Periodo Cobro-Pago'!$D28*'3 Previsión Ingresos-Gastos'!N67</f>
        <v>2</v>
      </c>
      <c r="P98" s="343">
        <f>+'4 Periodo Cobro-Pago'!$D28*'3 Previsión Ingresos-Gastos'!O67</f>
        <v>2</v>
      </c>
      <c r="Q98" s="343"/>
      <c r="R98" s="343"/>
      <c r="S98" s="343"/>
      <c r="T98" s="343"/>
      <c r="U98" s="344"/>
      <c r="V98" s="343">
        <f>+SUM(D98:P98)</f>
        <v>24</v>
      </c>
      <c r="W98" s="343"/>
      <c r="X98" s="345"/>
      <c r="Y98" s="343">
        <f>+'4 Periodo Cobro-Pago'!D28*'3 Previsión Ingresos-Gastos'!S67</f>
        <v>36</v>
      </c>
      <c r="Z98" s="343"/>
      <c r="AA98" s="345" t="str">
        <f>+IF(SUM(Y98:Z98)='3 Previsión Ingresos-Gastos'!S67,"OK","REVISAR")</f>
        <v>OK</v>
      </c>
      <c r="AB98" s="343">
        <f>+'4 Periodo Cobro-Pago'!D28*'3 Previsión Ingresos-Gastos'!U67</f>
        <v>54</v>
      </c>
      <c r="AC98" s="343"/>
      <c r="AD98" s="346" t="str">
        <f>+IF(SUM(AB98:AC98)='3 Previsión Ingresos-Gastos'!U67,"OK","REVISAR")</f>
        <v>OK</v>
      </c>
    </row>
    <row r="99" spans="1:30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347"/>
      <c r="Q99" s="348"/>
      <c r="R99" s="163"/>
      <c r="S99" s="163"/>
      <c r="T99" s="163"/>
      <c r="U99" s="165"/>
      <c r="V99" s="349"/>
      <c r="W99" s="163"/>
      <c r="X99" s="355"/>
      <c r="Y99" s="348"/>
      <c r="Z99" s="163"/>
      <c r="AA99" s="355"/>
      <c r="AB99" s="348"/>
      <c r="AC99" s="163"/>
    </row>
    <row r="100" spans="1:30">
      <c r="A100" s="341" t="s">
        <v>114</v>
      </c>
      <c r="B100" s="341"/>
      <c r="C100" s="342"/>
      <c r="D100" s="343"/>
      <c r="E100" s="343">
        <f>+'Cálculo préstamo Año 1'!B20</f>
        <v>212.13103047814985</v>
      </c>
      <c r="F100" s="343">
        <f>+'Cálculo préstamo Año 1'!B21</f>
        <v>212.13103047814985</v>
      </c>
      <c r="G100" s="343">
        <f>+'Cálculo préstamo Año 1'!B22</f>
        <v>212.13103047814985</v>
      </c>
      <c r="H100" s="343">
        <f>+'Cálculo préstamo Año 1'!B23</f>
        <v>212.13103047814985</v>
      </c>
      <c r="I100" s="343">
        <f>+'Cálculo préstamo Año 1'!B24</f>
        <v>212.13103047814985</v>
      </c>
      <c r="J100" s="343">
        <f>+'Cálculo préstamo Año 1'!B25</f>
        <v>212.13103047814985</v>
      </c>
      <c r="K100" s="343">
        <f>+'Cálculo préstamo Año 1'!B26</f>
        <v>212.13103047814985</v>
      </c>
      <c r="L100" s="343">
        <f>+'Cálculo préstamo Año 1'!B27</f>
        <v>212.13103047814985</v>
      </c>
      <c r="M100" s="343">
        <f>+'Cálculo préstamo Año 1'!B28</f>
        <v>212.13103047814985</v>
      </c>
      <c r="N100" s="343">
        <f>+'Cálculo préstamo Año 1'!B29</f>
        <v>212.13103047814985</v>
      </c>
      <c r="O100" s="343">
        <f>+'Cálculo préstamo Año 1'!B30</f>
        <v>212.13103047814985</v>
      </c>
      <c r="P100" s="343">
        <f>+'Cálculo préstamo Año 1'!B31</f>
        <v>212.13103047814985</v>
      </c>
      <c r="Q100" s="343"/>
      <c r="R100" s="343"/>
      <c r="S100" s="343"/>
      <c r="T100" s="343"/>
      <c r="U100" s="344"/>
      <c r="V100" s="343">
        <f>ROUND(SUM(D100:P100),2)</f>
        <v>2545.5700000000002</v>
      </c>
      <c r="W100" s="343"/>
      <c r="X100" s="345"/>
      <c r="Y100" s="343">
        <f>(SUM('Cálculo préstamo Año 1'!B32:B43)+SUM('Cálculo préstamo Año 2'!B20:B31))</f>
        <v>2637.65962379233</v>
      </c>
      <c r="Z100" s="343"/>
      <c r="AA100" s="345"/>
      <c r="AB100" s="343">
        <f>(SUM('Cálculo préstamo Año 1'!B44:B55)+SUM('Cálculo préstamo Año 2'!B32:B43)+SUM('Cálculo préstamo Año 3'!B20:B31))</f>
        <v>2872.9444699477694</v>
      </c>
      <c r="AC100" s="343"/>
      <c r="AD100" s="346"/>
    </row>
    <row r="101" spans="1:30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347"/>
      <c r="Q101" s="348"/>
      <c r="R101" s="163"/>
      <c r="S101" s="163"/>
      <c r="T101" s="163"/>
      <c r="U101" s="165"/>
      <c r="V101" s="349"/>
      <c r="W101" s="163"/>
      <c r="X101" s="355"/>
      <c r="Y101" s="348"/>
      <c r="Z101" s="163"/>
      <c r="AA101" s="355"/>
      <c r="AB101" s="348"/>
      <c r="AC101" s="163"/>
    </row>
    <row r="102" spans="1:30">
      <c r="A102" s="341" t="s">
        <v>115</v>
      </c>
      <c r="B102" s="341"/>
      <c r="C102" s="342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4"/>
      <c r="V102" s="343"/>
      <c r="W102" s="343"/>
      <c r="X102" s="345"/>
      <c r="Y102" s="343">
        <f>+SUM(Q112:T112)</f>
        <v>637.72</v>
      </c>
      <c r="Z102" s="343"/>
      <c r="AA102" s="345"/>
      <c r="AB102" s="343">
        <f>+Z112</f>
        <v>4124.458447916666</v>
      </c>
      <c r="AC102" s="343"/>
      <c r="AD102" s="346"/>
    </row>
    <row r="103" spans="1:30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347"/>
      <c r="Q103" s="348"/>
      <c r="R103" s="163"/>
      <c r="S103" s="163"/>
      <c r="T103" s="163"/>
      <c r="U103" s="165"/>
      <c r="V103" s="349"/>
      <c r="W103" s="163"/>
      <c r="X103" s="355"/>
      <c r="Y103" s="348"/>
      <c r="Z103" s="163"/>
      <c r="AA103" s="355"/>
      <c r="AB103" s="348"/>
      <c r="AC103" s="163"/>
    </row>
    <row r="104" spans="1:30">
      <c r="A104" s="341" t="s">
        <v>116</v>
      </c>
      <c r="B104" s="341"/>
      <c r="C104" s="342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4"/>
      <c r="V104" s="343"/>
      <c r="W104" s="343"/>
      <c r="X104" s="345"/>
      <c r="Y104" s="343">
        <f>'2 Financiación'!I25</f>
        <v>0</v>
      </c>
      <c r="Z104" s="343"/>
      <c r="AA104" s="345"/>
      <c r="AB104" s="343">
        <f>'2 Financiación'!$L$25</f>
        <v>0</v>
      </c>
      <c r="AC104" s="343"/>
      <c r="AD104" s="346"/>
    </row>
    <row r="105" spans="1:30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347"/>
      <c r="Q105" s="348"/>
      <c r="R105" s="163"/>
      <c r="S105" s="163"/>
      <c r="T105" s="163"/>
      <c r="U105" s="165"/>
      <c r="V105" s="349"/>
      <c r="W105" s="163"/>
      <c r="X105" s="355"/>
      <c r="Y105" s="348"/>
      <c r="Z105" s="163"/>
      <c r="AA105" s="355"/>
      <c r="AB105" s="348"/>
      <c r="AC105" s="163"/>
    </row>
    <row r="106" spans="1:30">
      <c r="A106" s="341" t="s">
        <v>28</v>
      </c>
      <c r="B106" s="341"/>
      <c r="C106" s="342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4"/>
      <c r="V106" s="343"/>
      <c r="W106" s="343"/>
      <c r="X106" s="345"/>
      <c r="Y106" s="343">
        <f>+'5 Distribución Resultado'!D11</f>
        <v>0</v>
      </c>
      <c r="Z106" s="343"/>
      <c r="AA106" s="345"/>
      <c r="AB106" s="343">
        <f>'5 Distribución Resultado'!$D$21</f>
        <v>0</v>
      </c>
      <c r="AC106" s="343"/>
      <c r="AD106" s="346"/>
    </row>
    <row r="107" spans="1:30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347"/>
      <c r="Q107" s="348"/>
      <c r="R107" s="163"/>
      <c r="S107" s="163"/>
      <c r="T107" s="163"/>
      <c r="U107" s="165"/>
      <c r="V107" s="349"/>
      <c r="W107" s="163"/>
      <c r="X107" s="355"/>
      <c r="Y107" s="348"/>
      <c r="Z107" s="163"/>
      <c r="AA107" s="355"/>
      <c r="AB107" s="348"/>
      <c r="AC107" s="163"/>
    </row>
    <row r="108" spans="1:30">
      <c r="A108" s="341" t="s">
        <v>117</v>
      </c>
      <c r="B108" s="341"/>
      <c r="C108" s="342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4"/>
      <c r="V108" s="343"/>
      <c r="W108" s="343"/>
      <c r="X108" s="345"/>
      <c r="Y108" s="343">
        <f>+'6 Liquidación IVA'!L31</f>
        <v>-9447.33</v>
      </c>
      <c r="Z108" s="343"/>
      <c r="AA108" s="345"/>
      <c r="AB108" s="343">
        <f>+'6 Liquidación IVA'!O31</f>
        <v>-1161.1800000000003</v>
      </c>
      <c r="AC108" s="343"/>
      <c r="AD108" s="346"/>
    </row>
    <row r="109" spans="1:30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5"/>
      <c r="Q109" s="165"/>
      <c r="R109" s="163"/>
      <c r="S109" s="163"/>
      <c r="T109" s="163"/>
      <c r="U109" s="165"/>
      <c r="V109" s="349"/>
      <c r="W109" s="163"/>
      <c r="X109" s="350"/>
      <c r="Y109" s="165"/>
      <c r="Z109" s="163"/>
      <c r="AA109" s="350"/>
      <c r="AB109" s="165"/>
      <c r="AC109" s="163"/>
    </row>
    <row r="110" spans="1:30">
      <c r="A110" s="341" t="str">
        <f>+'B Pérdidas y Ganancias'!B44</f>
        <v>Impuestos sobre beneficios</v>
      </c>
      <c r="B110" s="341"/>
      <c r="C110" s="342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4"/>
      <c r="V110" s="343"/>
      <c r="W110" s="343">
        <f>+'Liquidación Impuesto Beneficios'!F13</f>
        <v>0</v>
      </c>
      <c r="X110" s="345"/>
      <c r="Y110" s="343">
        <f>+W110</f>
        <v>0</v>
      </c>
      <c r="Z110" s="343">
        <f>+'Liquidación Impuesto Beneficios'!I13</f>
        <v>3397.7834479166663</v>
      </c>
      <c r="AA110" s="345"/>
      <c r="AB110" s="343"/>
      <c r="AC110" s="343">
        <f>+'Liquidación Impuesto Beneficios'!L13</f>
        <v>0</v>
      </c>
      <c r="AD110" s="346"/>
    </row>
    <row r="111" spans="1:30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5"/>
      <c r="Q111" s="165"/>
      <c r="R111" s="163"/>
      <c r="S111" s="163"/>
      <c r="T111" s="163"/>
      <c r="U111" s="165"/>
      <c r="V111" s="349"/>
      <c r="W111" s="163"/>
      <c r="X111" s="350"/>
      <c r="Y111" s="165"/>
      <c r="Z111" s="163"/>
      <c r="AA111" s="350"/>
      <c r="AB111" s="165"/>
      <c r="AC111" s="163"/>
    </row>
    <row r="112" spans="1:30">
      <c r="A112" s="356" t="s">
        <v>111</v>
      </c>
      <c r="B112" s="356"/>
      <c r="C112" s="328"/>
      <c r="D112" s="357">
        <f t="shared" ref="D112:T112" si="21">+D28+D35+D42+D49+D51+D53+D55+D57+D64+D71+D78+D80+D82+D89+D91+D98+D100</f>
        <v>0</v>
      </c>
      <c r="E112" s="357">
        <f t="shared" si="21"/>
        <v>426.93303047814982</v>
      </c>
      <c r="F112" s="357">
        <f t="shared" si="21"/>
        <v>494.2510304781498</v>
      </c>
      <c r="G112" s="357">
        <f t="shared" si="21"/>
        <v>526.97503047814985</v>
      </c>
      <c r="H112" s="357">
        <f t="shared" si="21"/>
        <v>563.10503047814984</v>
      </c>
      <c r="I112" s="357">
        <f t="shared" si="21"/>
        <v>602.64103047815001</v>
      </c>
      <c r="J112" s="357">
        <f t="shared" si="21"/>
        <v>619.67103047814999</v>
      </c>
      <c r="K112" s="357">
        <f t="shared" si="21"/>
        <v>636.70103047814996</v>
      </c>
      <c r="L112" s="357">
        <f t="shared" si="21"/>
        <v>653.73103047814993</v>
      </c>
      <c r="M112" s="357">
        <f t="shared" si="21"/>
        <v>670.76103047814991</v>
      </c>
      <c r="N112" s="357">
        <f t="shared" si="21"/>
        <v>687.79103047814988</v>
      </c>
      <c r="O112" s="357">
        <f t="shared" si="21"/>
        <v>704.82103047814985</v>
      </c>
      <c r="P112" s="357">
        <f>+P28+P35+P42+P49+P51+P53+P55+P57+P64+P71+P78+P80+P82+P89+P91+P98+P100</f>
        <v>721.85103047814994</v>
      </c>
      <c r="Q112" s="357">
        <f t="shared" si="21"/>
        <v>271.07600000000002</v>
      </c>
      <c r="R112" s="357">
        <f t="shared" si="21"/>
        <v>179.91599999999997</v>
      </c>
      <c r="S112" s="357">
        <f t="shared" si="21"/>
        <v>123.35000000000001</v>
      </c>
      <c r="T112" s="357">
        <f t="shared" si="21"/>
        <v>63.378000000000007</v>
      </c>
      <c r="U112" s="358"/>
      <c r="V112" s="357">
        <f>+V28+V35+V42+V49+V51+V53+V55+V57+V64+V71+V78+V80+V82+V89+V91+V98+V100+V108</f>
        <v>7309.23</v>
      </c>
      <c r="W112" s="357">
        <f>(W28+W35+W42+W49+W51+W53+W55+W57+W64+W71+W78+W80+W82+W89+W91+W98+W100+W110+W108)</f>
        <v>637.72000000000014</v>
      </c>
      <c r="X112" s="345"/>
      <c r="Y112" s="357">
        <f>(Y28+Y35+Y42+Y49+Y51+Y53+Y55+Y57+Y64+Y71+Y78+Y80+Y82+Y89+Y91+Y98+Y100+Y102+Y104+Y106+Y110+Y108)</f>
        <v>1203.4446237923294</v>
      </c>
      <c r="Z112" s="357">
        <f>(Z28+Z35+Z42+Z49+Z51+Z53+Z55+Z57+Z64+Z71+Z78+Z80+Z82+Z89+Z91+Z98+Z100+Z110+Z108)</f>
        <v>4124.458447916666</v>
      </c>
      <c r="AA112" s="345"/>
      <c r="AB112" s="357">
        <f>(AB28+AB35+AB42+AB49+AB51+AB53+AB55+AB57+AB64+AB71+AB78+AB80+AB82+AB89+AB91+AB98+AB100+AB102+AB104+AB106+AB110+AB108)</f>
        <v>16899.315417864436</v>
      </c>
      <c r="AC112" s="357">
        <f>(AC28+AC35+AC42+AC49+AC51+AC53+AC55+AC57+AC64+AC71+AC78+AC80+AC82+AC89+AC91+AC98+AC100+AC110+AC108)</f>
        <v>1090.0125</v>
      </c>
      <c r="AD112" s="359"/>
    </row>
    <row r="113" spans="1:30" ht="14.25" thickBot="1">
      <c r="A113" s="363"/>
      <c r="B113" s="363"/>
      <c r="C113" s="126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V113" s="363"/>
      <c r="W113" s="363"/>
      <c r="Y113" s="363"/>
      <c r="Z113" s="363"/>
      <c r="AB113" s="363"/>
      <c r="AC113" s="363"/>
      <c r="AD113" s="364"/>
    </row>
    <row r="114" spans="1:30" ht="23.25" customHeight="1" thickTop="1">
      <c r="A114" s="156" t="s">
        <v>109</v>
      </c>
      <c r="B114" s="156" t="str">
        <f>+IF(V114=P116,"OK","REVISAR")</f>
        <v>OK</v>
      </c>
      <c r="D114" s="163"/>
      <c r="E114" s="349">
        <f t="shared" ref="E114:P114" si="22">+E26-E112</f>
        <v>-394.93303047814982</v>
      </c>
      <c r="F114" s="349">
        <f t="shared" si="22"/>
        <v>-400.67103047814976</v>
      </c>
      <c r="G114" s="349">
        <f t="shared" si="22"/>
        <v>-342.23503047814984</v>
      </c>
      <c r="H114" s="349">
        <f t="shared" si="22"/>
        <v>-257.62503047814982</v>
      </c>
      <c r="I114" s="349">
        <f t="shared" si="22"/>
        <v>-146.84103047814995</v>
      </c>
      <c r="J114" s="349">
        <f t="shared" si="22"/>
        <v>-15.971030478149942</v>
      </c>
      <c r="K114" s="349">
        <f t="shared" si="22"/>
        <v>114.89896952185018</v>
      </c>
      <c r="L114" s="349">
        <f t="shared" si="22"/>
        <v>245.76896952185018</v>
      </c>
      <c r="M114" s="349">
        <f t="shared" si="22"/>
        <v>376.63896952185019</v>
      </c>
      <c r="N114" s="349">
        <f t="shared" si="22"/>
        <v>507.50896952185008</v>
      </c>
      <c r="O114" s="349">
        <f t="shared" si="22"/>
        <v>638.37896952185019</v>
      </c>
      <c r="P114" s="360">
        <f t="shared" si="22"/>
        <v>769.2489695218502</v>
      </c>
      <c r="Q114" s="348"/>
      <c r="R114" s="163"/>
      <c r="S114" s="163"/>
      <c r="T114" s="163"/>
      <c r="U114" s="165"/>
      <c r="V114" s="349">
        <f>(V26-V112)</f>
        <v>26094.170000000002</v>
      </c>
      <c r="W114" s="163"/>
      <c r="X114" s="355"/>
      <c r="Y114" s="361">
        <f>(Y26-Y112)</f>
        <v>101727.72537620769</v>
      </c>
      <c r="Z114" s="163"/>
      <c r="AA114" s="355"/>
      <c r="AB114" s="361">
        <f>(AB26-AB112)</f>
        <v>119163.08495834326</v>
      </c>
      <c r="AC114" s="163"/>
    </row>
    <row r="115" spans="1:30">
      <c r="A115" s="164"/>
      <c r="B115" s="164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347"/>
      <c r="Q115" s="348"/>
      <c r="R115" s="163"/>
      <c r="S115" s="163"/>
      <c r="T115" s="163"/>
      <c r="U115" s="165"/>
      <c r="V115" s="349"/>
      <c r="W115" s="163"/>
      <c r="X115" s="350"/>
      <c r="Y115" s="163"/>
      <c r="Z115" s="163"/>
      <c r="AA115" s="350"/>
    </row>
    <row r="116" spans="1:30" ht="19.5" customHeight="1" thickBot="1">
      <c r="A116" s="164" t="s">
        <v>110</v>
      </c>
      <c r="B116" s="164"/>
      <c r="D116" s="349">
        <f>+D26-D112</f>
        <v>25000</v>
      </c>
      <c r="E116" s="163">
        <f t="shared" ref="E116:O116" si="23">+D116+E114</f>
        <v>24605.066969521849</v>
      </c>
      <c r="F116" s="163">
        <f t="shared" si="23"/>
        <v>24204.395939043701</v>
      </c>
      <c r="G116" s="163">
        <f t="shared" si="23"/>
        <v>23862.160908565551</v>
      </c>
      <c r="H116" s="163">
        <f t="shared" si="23"/>
        <v>23604.535878087401</v>
      </c>
      <c r="I116" s="163">
        <f t="shared" si="23"/>
        <v>23457.694847609251</v>
      </c>
      <c r="J116" s="163">
        <f t="shared" si="23"/>
        <v>23441.7238171311</v>
      </c>
      <c r="K116" s="163">
        <f t="shared" si="23"/>
        <v>23556.622786652952</v>
      </c>
      <c r="L116" s="163">
        <f t="shared" si="23"/>
        <v>23802.391756174802</v>
      </c>
      <c r="M116" s="163">
        <f t="shared" si="23"/>
        <v>24179.030725696652</v>
      </c>
      <c r="N116" s="163">
        <f t="shared" si="23"/>
        <v>24686.5396952185</v>
      </c>
      <c r="O116" s="163">
        <f t="shared" si="23"/>
        <v>25324.918664740351</v>
      </c>
      <c r="P116" s="360">
        <f>ROUND((O116+P114),2)</f>
        <v>26094.17</v>
      </c>
      <c r="Q116" s="348"/>
      <c r="R116" s="163"/>
      <c r="S116" s="163"/>
      <c r="T116" s="163"/>
      <c r="U116" s="165"/>
      <c r="V116" s="349"/>
      <c r="W116" s="163"/>
      <c r="X116" s="350"/>
      <c r="Y116" s="163"/>
      <c r="Z116" s="163"/>
      <c r="AA116" s="350"/>
    </row>
    <row r="117" spans="1:30" ht="14.25" thickTop="1">
      <c r="A117" s="365"/>
      <c r="B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V117" s="365"/>
      <c r="W117" s="365"/>
      <c r="Y117" s="365"/>
      <c r="Z117" s="365"/>
      <c r="AB117" s="365"/>
      <c r="AC117" s="365"/>
      <c r="AD117" s="366"/>
    </row>
    <row r="122" spans="1:30">
      <c r="E122" s="367"/>
    </row>
    <row r="123" spans="1:30">
      <c r="E123" s="367"/>
    </row>
    <row r="124" spans="1:30">
      <c r="E124" s="367"/>
    </row>
    <row r="125" spans="1:30">
      <c r="E125" s="367"/>
    </row>
    <row r="126" spans="1:30">
      <c r="E126" s="367"/>
    </row>
    <row r="127" spans="1:30">
      <c r="E127" s="367"/>
    </row>
  </sheetData>
  <sheetProtection autoFilter="0"/>
  <mergeCells count="1">
    <mergeCell ref="A1:B1"/>
  </mergeCells>
  <phoneticPr fontId="2" type="noConversion"/>
  <pageMargins left="0.28000000000000003" right="0.2" top="0.37" bottom="0.36" header="0" footer="0"/>
  <pageSetup paperSize="9" scale="43" fitToHeight="0" orientation="landscape" horizontalDpi="1200" verticalDpi="1200" r:id="rId1"/>
  <headerFooter alignWithMargins="0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indexed="23"/>
    <pageSetUpPr fitToPage="1"/>
  </sheetPr>
  <dimension ref="A1:M48"/>
  <sheetViews>
    <sheetView showGridLines="0" zoomScale="85" workbookViewId="0">
      <pane ySplit="3" topLeftCell="A19" activePane="bottomLeft" state="frozen"/>
      <selection activeCell="B1" sqref="B1:C1"/>
      <selection pane="bottomLeft" activeCell="C48" sqref="C48"/>
    </sheetView>
  </sheetViews>
  <sheetFormatPr baseColWidth="10" defaultColWidth="9.140625" defaultRowHeight="12.75"/>
  <cols>
    <col min="1" max="1" width="4.5703125" style="368" customWidth="1"/>
    <col min="2" max="2" width="3" style="368" customWidth="1"/>
    <col min="3" max="3" width="46.42578125" style="371" customWidth="1"/>
    <col min="4" max="4" width="10.5703125" style="368" customWidth="1"/>
    <col min="5" max="5" width="0.7109375" style="368" customWidth="1"/>
    <col min="6" max="6" width="13.28515625" style="369" bestFit="1" customWidth="1"/>
    <col min="7" max="7" width="9.140625" style="368" customWidth="1"/>
    <col min="8" max="8" width="0.7109375" style="370" customWidth="1"/>
    <col min="9" max="9" width="13.28515625" style="369" bestFit="1" customWidth="1"/>
    <col min="10" max="10" width="9.140625" style="368" customWidth="1"/>
    <col min="11" max="11" width="0.7109375" style="370" customWidth="1"/>
    <col min="12" max="12" width="13.28515625" style="369" bestFit="1" customWidth="1"/>
    <col min="13" max="16384" width="9.140625" style="368"/>
  </cols>
  <sheetData>
    <row r="1" spans="1:13">
      <c r="A1" s="156"/>
      <c r="B1" s="486" t="str">
        <f>+'Datos iniciales'!C4</f>
        <v>ALFA</v>
      </c>
      <c r="C1" s="486"/>
    </row>
    <row r="2" spans="1:13">
      <c r="D2" s="372"/>
      <c r="F2" s="373"/>
      <c r="G2" s="374"/>
      <c r="H2" s="375"/>
      <c r="I2" s="373"/>
      <c r="J2" s="374"/>
      <c r="K2" s="375"/>
      <c r="L2" s="373"/>
    </row>
    <row r="3" spans="1:13" ht="15" thickBot="1">
      <c r="A3" s="127"/>
      <c r="B3" s="150" t="s">
        <v>119</v>
      </c>
      <c r="C3" s="376"/>
      <c r="D3" s="140"/>
      <c r="E3" s="137"/>
      <c r="F3" s="490">
        <f>+'A Tesorería'!D5</f>
        <v>2014</v>
      </c>
      <c r="G3" s="490"/>
      <c r="H3" s="137"/>
      <c r="I3" s="490">
        <f>+F3+1</f>
        <v>2015</v>
      </c>
      <c r="J3" s="490" t="s">
        <v>20</v>
      </c>
      <c r="K3" s="137"/>
      <c r="L3" s="490">
        <f>+I3+1</f>
        <v>2016</v>
      </c>
      <c r="M3" s="490" t="s">
        <v>20</v>
      </c>
    </row>
    <row r="4" spans="1:13" ht="14.25">
      <c r="A4" s="127"/>
      <c r="B4" s="127"/>
      <c r="C4" s="377"/>
      <c r="D4" s="127"/>
      <c r="E4" s="162"/>
      <c r="F4" s="378"/>
      <c r="G4" s="127"/>
      <c r="H4" s="126"/>
      <c r="I4" s="378"/>
      <c r="J4" s="127"/>
      <c r="K4" s="126"/>
      <c r="L4" s="378"/>
      <c r="M4" s="127"/>
    </row>
    <row r="5" spans="1:13" ht="14.25">
      <c r="A5" s="379"/>
      <c r="B5" s="133"/>
      <c r="C5" s="380"/>
      <c r="D5" s="128"/>
      <c r="E5" s="358"/>
      <c r="F5" s="381"/>
      <c r="G5" s="382"/>
      <c r="H5" s="358"/>
      <c r="I5" s="381"/>
      <c r="J5" s="382"/>
      <c r="K5" s="358"/>
      <c r="L5" s="381"/>
      <c r="M5" s="382"/>
    </row>
    <row r="6" spans="1:13" ht="14.25">
      <c r="A6" s="383">
        <v>1</v>
      </c>
      <c r="B6" s="384" t="s">
        <v>120</v>
      </c>
      <c r="C6" s="385"/>
      <c r="D6" s="386"/>
      <c r="E6" s="387"/>
      <c r="F6" s="388">
        <f>+'3 Previsión Ingresos-Gastos'!Q7</f>
        <v>9870</v>
      </c>
      <c r="G6" s="389">
        <f>+IF(F$6=0," -- %",F6/F$6)</f>
        <v>1</v>
      </c>
      <c r="H6" s="390"/>
      <c r="I6" s="388">
        <f>+'3 Previsión Ingresos-Gastos'!S7</f>
        <v>73275</v>
      </c>
      <c r="J6" s="389">
        <f>+IF(I$6=0," -- %",I6/I$6)</f>
        <v>1</v>
      </c>
      <c r="K6" s="390"/>
      <c r="L6" s="388">
        <f>+'3 Previsión Ingresos-Gastos'!U7</f>
        <v>19920</v>
      </c>
      <c r="M6" s="389">
        <f>+IF(L$6=0," -- %",L6/L$6)</f>
        <v>1</v>
      </c>
    </row>
    <row r="7" spans="1:13" s="396" customFormat="1" ht="14.25">
      <c r="A7" s="391"/>
      <c r="B7" s="392"/>
      <c r="C7" s="380"/>
      <c r="D7" s="128"/>
      <c r="E7" s="126"/>
      <c r="F7" s="393"/>
      <c r="G7" s="394"/>
      <c r="H7" s="395"/>
      <c r="I7" s="393"/>
      <c r="J7" s="394"/>
      <c r="K7" s="395"/>
      <c r="L7" s="393"/>
      <c r="M7" s="394"/>
    </row>
    <row r="8" spans="1:13" ht="14.25">
      <c r="A8" s="383">
        <v>2</v>
      </c>
      <c r="B8" s="384" t="s">
        <v>121</v>
      </c>
      <c r="C8" s="385"/>
      <c r="D8" s="386"/>
      <c r="E8" s="387"/>
      <c r="F8" s="388">
        <v>0</v>
      </c>
      <c r="G8" s="389">
        <f>+IF(F$6=0," -- %",F8/F$6)</f>
        <v>0</v>
      </c>
      <c r="H8" s="390"/>
      <c r="I8" s="388">
        <v>0</v>
      </c>
      <c r="J8" s="389">
        <f>+IF(I$6=0," -- %",I8/I$6)</f>
        <v>0</v>
      </c>
      <c r="K8" s="390"/>
      <c r="L8" s="388">
        <v>0</v>
      </c>
      <c r="M8" s="389">
        <f>+IF(L$6=0," -- %",L8/L$6)</f>
        <v>0</v>
      </c>
    </row>
    <row r="9" spans="1:13" s="396" customFormat="1" ht="14.25">
      <c r="A9" s="391"/>
      <c r="B9" s="392"/>
      <c r="C9" s="380"/>
      <c r="D9" s="128"/>
      <c r="E9" s="126"/>
      <c r="F9" s="393"/>
      <c r="G9" s="394"/>
      <c r="H9" s="395"/>
      <c r="I9" s="393"/>
      <c r="J9" s="394"/>
      <c r="K9" s="395"/>
      <c r="L9" s="393"/>
      <c r="M9" s="394"/>
    </row>
    <row r="10" spans="1:13" ht="14.25">
      <c r="A10" s="383">
        <v>3</v>
      </c>
      <c r="B10" s="384" t="s">
        <v>122</v>
      </c>
      <c r="C10" s="385"/>
      <c r="D10" s="386"/>
      <c r="E10" s="387"/>
      <c r="F10" s="388">
        <v>0</v>
      </c>
      <c r="G10" s="389">
        <f>+IF(F$6=0," -- %",F10/F$6)</f>
        <v>0</v>
      </c>
      <c r="H10" s="390"/>
      <c r="I10" s="388">
        <v>0</v>
      </c>
      <c r="J10" s="389">
        <f>+IF(I$6=0," -- %",I10/I$6)</f>
        <v>0</v>
      </c>
      <c r="K10" s="390"/>
      <c r="L10" s="388">
        <v>0</v>
      </c>
      <c r="M10" s="389">
        <f>+IF(L$6=0," -- %",L10/L$6)</f>
        <v>0</v>
      </c>
    </row>
    <row r="11" spans="1:13" ht="14.25">
      <c r="A11" s="391"/>
      <c r="B11" s="392"/>
      <c r="C11" s="380"/>
      <c r="D11" s="128"/>
      <c r="E11" s="126"/>
      <c r="F11" s="393"/>
      <c r="G11" s="394"/>
      <c r="H11" s="395"/>
      <c r="I11" s="393"/>
      <c r="J11" s="394"/>
      <c r="K11" s="395"/>
      <c r="L11" s="393"/>
      <c r="M11" s="394"/>
    </row>
    <row r="12" spans="1:13" ht="14.25">
      <c r="A12" s="383">
        <v>4</v>
      </c>
      <c r="B12" s="384" t="s">
        <v>70</v>
      </c>
      <c r="C12" s="385"/>
      <c r="D12" s="386"/>
      <c r="E12" s="387"/>
      <c r="F12" s="388">
        <f>-'3 Previsión Ingresos-Gastos'!Q31-'3 Previsión Ingresos-Gastos'!Q40+'C Balance'!F26-'3 Previsión Ingresos-Gastos'!Q44</f>
        <v>-1542</v>
      </c>
      <c r="G12" s="389">
        <f>+IF(F$6=0," -- %",F12/F$6)</f>
        <v>-0.15623100303951368</v>
      </c>
      <c r="H12" s="390"/>
      <c r="I12" s="388">
        <f>-'3 Previsión Ingresos-Gastos'!S31-'3 Previsión Ingresos-Gastos'!S40-'C Balance'!F26+'C Balance'!I26-'3 Previsión Ingresos-Gastos'!S44</f>
        <v>-2313</v>
      </c>
      <c r="J12" s="389">
        <f>+IF(I$6=0," -- %",I12/I$6)</f>
        <v>-3.1566018423746164E-2</v>
      </c>
      <c r="K12" s="390"/>
      <c r="L12" s="388">
        <f>-'3 Previsión Ingresos-Gastos'!U31-'3 Previsión Ingresos-Gastos'!U40-'C Balance'!I26+'C Balance'!L26-'3 Previsión Ingresos-Gastos'!U44</f>
        <v>-3469.5</v>
      </c>
      <c r="M12" s="389">
        <f>+IF(L$6=0," -- %",L12/L$6)</f>
        <v>-0.17417168674698796</v>
      </c>
    </row>
    <row r="13" spans="1:13" s="396" customFormat="1" ht="14.25">
      <c r="B13" s="392"/>
      <c r="C13" s="380"/>
      <c r="D13" s="128"/>
      <c r="E13" s="126"/>
      <c r="F13" s="393"/>
      <c r="G13" s="394"/>
      <c r="H13" s="395"/>
      <c r="I13" s="393"/>
      <c r="J13" s="394"/>
      <c r="K13" s="395"/>
      <c r="L13" s="393"/>
      <c r="M13" s="394"/>
    </row>
    <row r="14" spans="1:13" ht="14.25">
      <c r="A14" s="383">
        <v>5</v>
      </c>
      <c r="B14" s="384" t="s">
        <v>123</v>
      </c>
      <c r="C14" s="385"/>
      <c r="D14" s="386"/>
      <c r="E14" s="387"/>
      <c r="F14" s="388">
        <v>0</v>
      </c>
      <c r="G14" s="389">
        <f>+IF(F$6=0," -- %",F14/F$6)</f>
        <v>0</v>
      </c>
      <c r="H14" s="390"/>
      <c r="I14" s="388">
        <v>0</v>
      </c>
      <c r="J14" s="389">
        <f>+IF(I$6=0," -- %",I14/I$6)</f>
        <v>0</v>
      </c>
      <c r="K14" s="390"/>
      <c r="L14" s="388">
        <v>0</v>
      </c>
      <c r="M14" s="389">
        <f>+IF(L$6=0," -- %",L14/L$6)</f>
        <v>0</v>
      </c>
    </row>
    <row r="15" spans="1:13" s="396" customFormat="1" ht="14.25">
      <c r="A15" s="391"/>
      <c r="B15" s="392"/>
      <c r="C15" s="380"/>
      <c r="D15" s="128"/>
      <c r="E15" s="126"/>
      <c r="F15" s="393"/>
      <c r="G15" s="394"/>
      <c r="H15" s="395"/>
      <c r="I15" s="393"/>
      <c r="J15" s="394"/>
      <c r="K15" s="395"/>
      <c r="L15" s="393"/>
      <c r="M15" s="394"/>
    </row>
    <row r="16" spans="1:13" ht="14.25">
      <c r="A16" s="383">
        <v>6</v>
      </c>
      <c r="B16" s="384" t="s">
        <v>76</v>
      </c>
      <c r="C16" s="385"/>
      <c r="D16" s="386"/>
      <c r="E16" s="387"/>
      <c r="F16" s="388">
        <f>-'3 Previsión Ingresos-Gastos'!Q52-'3 Previsión Ingresos-Gastos'!Q54-'3 Previsión Ingresos-Gastos'!Q53</f>
        <v>-1692</v>
      </c>
      <c r="G16" s="389">
        <f>+IF(F$6=0," -- %",F16/F$6)</f>
        <v>-0.17142857142857143</v>
      </c>
      <c r="H16" s="390"/>
      <c r="I16" s="388">
        <f>-'3 Previsión Ingresos-Gastos'!S52-'3 Previsión Ingresos-Gastos'!S54-'3 Previsión Ingresos-Gastos'!S53</f>
        <v>-2538</v>
      </c>
      <c r="J16" s="389">
        <f>+IF(I$6=0," -- %",I16/I$6)</f>
        <v>-3.4636642784032751E-2</v>
      </c>
      <c r="K16" s="390"/>
      <c r="L16" s="388">
        <f>-'3 Previsión Ingresos-Gastos'!U52-'3 Previsión Ingresos-Gastos'!U54-'3 Previsión Ingresos-Gastos'!U53</f>
        <v>-3807</v>
      </c>
      <c r="M16" s="389">
        <f>+IF(L$6=0," -- %",L16/L$6)</f>
        <v>-0.1911144578313253</v>
      </c>
    </row>
    <row r="17" spans="1:13" s="396" customFormat="1" ht="14.25">
      <c r="B17" s="392"/>
      <c r="C17" s="380"/>
      <c r="D17" s="128"/>
      <c r="E17" s="126"/>
      <c r="F17" s="393"/>
      <c r="G17" s="394"/>
      <c r="H17" s="395"/>
      <c r="I17" s="393"/>
      <c r="J17" s="394"/>
      <c r="K17" s="395"/>
      <c r="L17" s="393"/>
      <c r="M17" s="394"/>
    </row>
    <row r="18" spans="1:13" ht="14.25">
      <c r="A18" s="383">
        <v>7</v>
      </c>
      <c r="B18" s="384" t="s">
        <v>80</v>
      </c>
      <c r="C18" s="385"/>
      <c r="D18" s="386"/>
      <c r="E18" s="387"/>
      <c r="F18" s="388">
        <f>-'3 Previsión Ingresos-Gastos'!Q58-'3 Previsión Ingresos-Gastos'!Q59-'3 Previsión Ingresos-Gastos'!Q60-'3 Previsión Ingresos-Gastos'!Q61-'3 Previsión Ingresos-Gastos'!Q62-'3 Previsión Ingresos-Gastos'!Q63-'3 Previsión Ingresos-Gastos'!Q64-'3 Previsión Ingresos-Gastos'!Q65-'3 Previsión Ingresos-Gastos'!Q66-'3 Previsión Ingresos-Gastos'!Q67</f>
        <v>-1626</v>
      </c>
      <c r="G18" s="389">
        <f>+IF(F$6=0," -- %",F18/F$6)</f>
        <v>-0.16474164133738603</v>
      </c>
      <c r="H18" s="390"/>
      <c r="I18" s="388">
        <f>-'3 Previsión Ingresos-Gastos'!S58-'3 Previsión Ingresos-Gastos'!S59-'3 Previsión Ingresos-Gastos'!S60-'3 Previsión Ingresos-Gastos'!S61-'3 Previsión Ingresos-Gastos'!S62-'3 Previsión Ingresos-Gastos'!S63-'3 Previsión Ingresos-Gastos'!S64-'3 Previsión Ingresos-Gastos'!S65-'3 Previsión Ingresos-Gastos'!S66-'3 Previsión Ingresos-Gastos'!S67</f>
        <v>-2439</v>
      </c>
      <c r="J18" s="389">
        <f>+IF(I$6=0," -- %",I18/I$6)</f>
        <v>-3.328556806550665E-2</v>
      </c>
      <c r="K18" s="390"/>
      <c r="L18" s="388">
        <f>-'3 Previsión Ingresos-Gastos'!U58-'3 Previsión Ingresos-Gastos'!U59-'3 Previsión Ingresos-Gastos'!U60-'3 Previsión Ingresos-Gastos'!U61-'3 Previsión Ingresos-Gastos'!U62-'3 Previsión Ingresos-Gastos'!U63-'3 Previsión Ingresos-Gastos'!U64-'3 Previsión Ingresos-Gastos'!U65-'3 Previsión Ingresos-Gastos'!U66-'3 Previsión Ingresos-Gastos'!U67</f>
        <v>-3658.5</v>
      </c>
      <c r="M18" s="389">
        <f>+IF(L$6=0," -- %",L18/L$6)</f>
        <v>-0.18365963855421688</v>
      </c>
    </row>
    <row r="19" spans="1:13" s="396" customFormat="1" ht="14.25">
      <c r="B19" s="392"/>
      <c r="C19" s="380"/>
      <c r="D19" s="128"/>
      <c r="E19" s="126"/>
      <c r="F19" s="393"/>
      <c r="G19" s="394"/>
      <c r="H19" s="395"/>
      <c r="I19" s="393"/>
      <c r="J19" s="394"/>
      <c r="K19" s="395"/>
      <c r="L19" s="393"/>
      <c r="M19" s="394"/>
    </row>
    <row r="20" spans="1:13" ht="14.25">
      <c r="A20" s="383">
        <v>8</v>
      </c>
      <c r="B20" s="384" t="s">
        <v>124</v>
      </c>
      <c r="C20" s="385"/>
      <c r="D20" s="386"/>
      <c r="E20" s="387"/>
      <c r="F20" s="388">
        <f>-'3 Previsión Ingresos-Gastos'!Q73</f>
        <v>-13339.333333333334</v>
      </c>
      <c r="G20" s="389">
        <f>+IF(F$6=0," -- %",F20/F$6)</f>
        <v>-1.3515028706518069</v>
      </c>
      <c r="H20" s="390"/>
      <c r="I20" s="388">
        <f>-'3 Previsión Ingresos-Gastos'!S75</f>
        <v>-55018</v>
      </c>
      <c r="J20" s="389">
        <f>+IF(I$6=0," -- %",I20/I$6)</f>
        <v>-0.7508427157966564</v>
      </c>
      <c r="K20" s="390"/>
      <c r="L20" s="388">
        <f>-'3 Previsión Ingresos-Gastos'!U73</f>
        <v>-75702.666666666672</v>
      </c>
      <c r="M20" s="389">
        <f>+IF(L$6=0," -- %",L20/L$6)</f>
        <v>-3.8003346720214193</v>
      </c>
    </row>
    <row r="21" spans="1:13" s="396" customFormat="1" ht="14.25">
      <c r="A21" s="391"/>
      <c r="B21" s="392"/>
      <c r="C21" s="380"/>
      <c r="D21" s="128"/>
      <c r="E21" s="126"/>
      <c r="F21" s="393"/>
      <c r="G21" s="394"/>
      <c r="H21" s="395"/>
      <c r="I21" s="393"/>
      <c r="J21" s="394"/>
      <c r="K21" s="395"/>
      <c r="L21" s="393"/>
      <c r="M21" s="394"/>
    </row>
    <row r="22" spans="1:13" ht="14.25">
      <c r="A22" s="383">
        <v>9</v>
      </c>
      <c r="B22" s="384" t="s">
        <v>125</v>
      </c>
      <c r="C22" s="385"/>
      <c r="D22" s="386"/>
      <c r="E22" s="387"/>
      <c r="F22" s="388">
        <f>IF('2 Financiación'!F37=0,0,'2 Financiación'!F15/'2 Financiación'!F37)</f>
        <v>4188.0874999999996</v>
      </c>
      <c r="G22" s="389">
        <f>+IF(F$6=0," -- %",F22/F$6)</f>
        <v>0.42432497467071933</v>
      </c>
      <c r="H22" s="390"/>
      <c r="I22" s="388">
        <f>+(IF('2 Financiación'!F37=0,0,'2 Financiación'!F15/'2 Financiación'!F37))+(IF('2 Financiación'!I37=0,0,'2 Financiación'!I15/'2 Financiación'!I37))</f>
        <v>8646.0774999999994</v>
      </c>
      <c r="J22" s="389">
        <f>+IF(I$6=0," -- %",I22/I$6)</f>
        <v>0.11799491641078129</v>
      </c>
      <c r="K22" s="390"/>
      <c r="L22" s="388">
        <f>+(IF('2 Financiación'!F37=0,0,'2 Financiación'!F15/'2 Financiación'!F37))+(IF('2 Financiación'!I37=0,0,'2 Financiación'!I15/'2 Financiación'!I37))+(IF('2 Financiación'!L37=0,0,'2 Financiación'!L15/'2 Financiación'!L37))</f>
        <v>13019.197499999998</v>
      </c>
      <c r="M22" s="389">
        <f>+IF(L$6=0," -- %",L22/L$6)</f>
        <v>0.65357417168674692</v>
      </c>
    </row>
    <row r="23" spans="1:13" s="396" customFormat="1" ht="14.25">
      <c r="A23" s="391"/>
      <c r="B23" s="392"/>
      <c r="C23" s="380"/>
      <c r="D23" s="128"/>
      <c r="E23" s="126"/>
      <c r="F23" s="393"/>
      <c r="G23" s="394"/>
      <c r="H23" s="395"/>
      <c r="I23" s="393"/>
      <c r="J23" s="394"/>
      <c r="K23" s="395"/>
      <c r="L23" s="393"/>
      <c r="M23" s="394"/>
    </row>
    <row r="24" spans="1:13" ht="14.25">
      <c r="A24" s="383">
        <v>10</v>
      </c>
      <c r="B24" s="384" t="s">
        <v>126</v>
      </c>
      <c r="C24" s="385"/>
      <c r="D24" s="386"/>
      <c r="E24" s="387"/>
      <c r="F24" s="388">
        <v>0</v>
      </c>
      <c r="G24" s="389">
        <f>+IF(F$6=0," -- %",F24/F$6)</f>
        <v>0</v>
      </c>
      <c r="H24" s="390"/>
      <c r="I24" s="388">
        <v>0</v>
      </c>
      <c r="J24" s="389">
        <f>+IF(I$6=0," -- %",I24/I$6)</f>
        <v>0</v>
      </c>
      <c r="K24" s="390"/>
      <c r="L24" s="388">
        <v>0</v>
      </c>
      <c r="M24" s="389">
        <f>+IF(L$6=0," -- %",L24/L$6)</f>
        <v>0</v>
      </c>
    </row>
    <row r="25" spans="1:13" ht="14.25">
      <c r="A25" s="391"/>
      <c r="B25" s="392"/>
      <c r="C25" s="380"/>
      <c r="D25" s="128"/>
      <c r="E25" s="126"/>
      <c r="F25" s="393"/>
      <c r="G25" s="394"/>
      <c r="H25" s="395"/>
      <c r="I25" s="393"/>
      <c r="J25" s="394"/>
      <c r="K25" s="395"/>
      <c r="L25" s="393"/>
      <c r="M25" s="394"/>
    </row>
    <row r="26" spans="1:13" ht="14.25">
      <c r="A26" s="383">
        <v>11</v>
      </c>
      <c r="B26" s="341" t="s">
        <v>127</v>
      </c>
      <c r="C26" s="397"/>
      <c r="D26" s="398"/>
      <c r="E26" s="399"/>
      <c r="F26" s="400">
        <v>0</v>
      </c>
      <c r="G26" s="401">
        <f>+IF(F$6=0," -- %",F26/F$6)</f>
        <v>0</v>
      </c>
      <c r="H26" s="390"/>
      <c r="I26" s="400">
        <v>0</v>
      </c>
      <c r="J26" s="401">
        <f>+IF(I$6=0," -- %",I26/I$6)</f>
        <v>0</v>
      </c>
      <c r="K26" s="390"/>
      <c r="L26" s="400">
        <v>0</v>
      </c>
      <c r="M26" s="401">
        <f>+IF(L$6=0," -- %",L26/L$6)</f>
        <v>0</v>
      </c>
    </row>
    <row r="27" spans="1:13">
      <c r="F27" s="402"/>
      <c r="I27" s="402"/>
      <c r="L27" s="402"/>
    </row>
    <row r="28" spans="1:13" ht="14.25">
      <c r="A28" s="379" t="s">
        <v>5</v>
      </c>
      <c r="B28" s="133" t="s">
        <v>118</v>
      </c>
      <c r="C28" s="380"/>
      <c r="D28" s="128"/>
      <c r="E28" s="358"/>
      <c r="F28" s="403">
        <f>+F6+F8+F10+F12+F14+F16+F18+F20+F22+F24+F26</f>
        <v>-4141.2458333333343</v>
      </c>
      <c r="G28" s="404">
        <f>+IF(F$6=0," -- %",F28/F$6)</f>
        <v>-0.41957911178655871</v>
      </c>
      <c r="H28" s="405"/>
      <c r="I28" s="403">
        <f>+I6+I8+I10+I12+I14+I16+I18+I20+I22+I24+I26</f>
        <v>19613.077499999999</v>
      </c>
      <c r="J28" s="404">
        <f>+IF(I$6=0," -- %",I28/I$6)</f>
        <v>0.2676639713408393</v>
      </c>
      <c r="K28" s="405"/>
      <c r="L28" s="403">
        <f>+L6+L8+L10+L12+L14+L16+L18+L20+L22+L24+L26</f>
        <v>-53698.469166666677</v>
      </c>
      <c r="M28" s="404">
        <f>+IF(L$6=0," -- %",L28/L$6)</f>
        <v>-2.6957062834672025</v>
      </c>
    </row>
    <row r="29" spans="1:13">
      <c r="F29" s="402"/>
      <c r="I29" s="402"/>
      <c r="L29" s="402"/>
    </row>
    <row r="30" spans="1:13" ht="14.25">
      <c r="A30" s="383">
        <v>12</v>
      </c>
      <c r="B30" s="384" t="s">
        <v>128</v>
      </c>
      <c r="C30" s="385"/>
      <c r="D30" s="386"/>
      <c r="E30" s="387"/>
      <c r="F30" s="388">
        <v>0</v>
      </c>
      <c r="G30" s="389">
        <f>+IF(F$6=0," -- %",F30/F$6)</f>
        <v>0</v>
      </c>
      <c r="H30" s="390"/>
      <c r="I30" s="388">
        <v>0</v>
      </c>
      <c r="J30" s="389">
        <f>+IF(I$6=0," -- %",I30/I$6)</f>
        <v>0</v>
      </c>
      <c r="K30" s="390"/>
      <c r="L30" s="388">
        <v>0</v>
      </c>
      <c r="M30" s="389">
        <f>+IF(L$6=0," -- %",L30/L$6)</f>
        <v>0</v>
      </c>
    </row>
    <row r="31" spans="1:13" s="396" customFormat="1" ht="14.25">
      <c r="C31" s="380"/>
      <c r="F31" s="393"/>
      <c r="G31" s="394"/>
      <c r="H31" s="395"/>
      <c r="I31" s="393"/>
      <c r="J31" s="394"/>
      <c r="K31" s="395"/>
      <c r="L31" s="393"/>
      <c r="M31" s="394"/>
    </row>
    <row r="32" spans="1:13" ht="14.25">
      <c r="A32" s="383">
        <v>13</v>
      </c>
      <c r="B32" s="384" t="s">
        <v>91</v>
      </c>
      <c r="C32" s="385"/>
      <c r="D32" s="386"/>
      <c r="E32" s="387"/>
      <c r="F32" s="388">
        <f>-'3 Previsión Ingresos-Gastos'!Q71</f>
        <v>-964.08404166666662</v>
      </c>
      <c r="G32" s="389">
        <f>+IF(F$6=0," -- %",F32/F$6)</f>
        <v>-9.7678221040189125E-2</v>
      </c>
      <c r="H32" s="390"/>
      <c r="I32" s="388">
        <f>-'3 Previsión Ingresos-Gastos'!S71</f>
        <v>-916.61383333333322</v>
      </c>
      <c r="J32" s="389">
        <f>+IF(I$6=0," -- %",I32/I$6)</f>
        <v>-1.2509230069373364E-2</v>
      </c>
      <c r="K32" s="390"/>
      <c r="L32" s="388">
        <f>+(-'3 Previsión Ingresos-Gastos'!U71)</f>
        <v>-899.38297499999999</v>
      </c>
      <c r="M32" s="389">
        <f>+IF(L$6=0," -- %",L32/L$6)</f>
        <v>-4.5149747740963857E-2</v>
      </c>
    </row>
    <row r="33" spans="1:13" s="396" customFormat="1" ht="14.25">
      <c r="B33" s="392"/>
      <c r="C33" s="380"/>
      <c r="D33" s="128"/>
      <c r="E33" s="126"/>
      <c r="F33" s="393"/>
      <c r="G33" s="394"/>
      <c r="H33" s="395"/>
      <c r="I33" s="393"/>
      <c r="J33" s="394"/>
      <c r="K33" s="395"/>
      <c r="L33" s="393"/>
      <c r="M33" s="394"/>
    </row>
    <row r="34" spans="1:13" ht="14.25">
      <c r="A34" s="383">
        <v>14</v>
      </c>
      <c r="B34" s="384" t="s">
        <v>129</v>
      </c>
      <c r="C34" s="385"/>
      <c r="D34" s="386"/>
      <c r="E34" s="387"/>
      <c r="F34" s="388">
        <v>0</v>
      </c>
      <c r="G34" s="389">
        <f>+IF(F$6=0," -- %",F34/F$6)</f>
        <v>0</v>
      </c>
      <c r="H34" s="390"/>
      <c r="I34" s="388">
        <v>0</v>
      </c>
      <c r="J34" s="389">
        <f>+IF(I$6=0," -- %",I34/I$6)</f>
        <v>0</v>
      </c>
      <c r="K34" s="390"/>
      <c r="L34" s="388">
        <v>0</v>
      </c>
      <c r="M34" s="389">
        <f>+IF(L$6=0," -- %",L34/L$6)</f>
        <v>0</v>
      </c>
    </row>
    <row r="35" spans="1:13" s="396" customFormat="1" ht="14.25">
      <c r="B35" s="392"/>
      <c r="C35" s="380"/>
      <c r="D35" s="128"/>
      <c r="E35" s="126"/>
      <c r="F35" s="393"/>
      <c r="G35" s="394"/>
      <c r="H35" s="395"/>
      <c r="I35" s="393"/>
      <c r="J35" s="394"/>
      <c r="K35" s="395"/>
      <c r="L35" s="393"/>
      <c r="M35" s="394"/>
    </row>
    <row r="36" spans="1:13" ht="14.25">
      <c r="A36" s="383">
        <v>15</v>
      </c>
      <c r="B36" s="384" t="s">
        <v>130</v>
      </c>
      <c r="C36" s="385"/>
      <c r="D36" s="386"/>
      <c r="E36" s="387"/>
      <c r="F36" s="388">
        <v>0</v>
      </c>
      <c r="G36" s="389">
        <f>+IF(F$6=0," -- %",F36/F$6)</f>
        <v>0</v>
      </c>
      <c r="H36" s="390"/>
      <c r="I36" s="388">
        <v>0</v>
      </c>
      <c r="J36" s="389">
        <f>+IF(I$6=0," -- %",I36/I$6)</f>
        <v>0</v>
      </c>
      <c r="K36" s="390"/>
      <c r="L36" s="388">
        <v>0</v>
      </c>
      <c r="M36" s="389">
        <f>+IF(L$6=0," -- %",L36/L$6)</f>
        <v>0</v>
      </c>
    </row>
    <row r="37" spans="1:13" s="396" customFormat="1" ht="14.25">
      <c r="A37" s="391"/>
      <c r="B37" s="392"/>
      <c r="C37" s="380"/>
      <c r="D37" s="128"/>
      <c r="E37" s="126"/>
      <c r="F37" s="393"/>
      <c r="G37" s="394"/>
      <c r="H37" s="395"/>
      <c r="I37" s="393"/>
      <c r="J37" s="394"/>
      <c r="K37" s="395"/>
      <c r="L37" s="393"/>
      <c r="M37" s="394"/>
    </row>
    <row r="38" spans="1:13" ht="14.25">
      <c r="A38" s="383">
        <v>16</v>
      </c>
      <c r="B38" s="384" t="s">
        <v>131</v>
      </c>
      <c r="C38" s="385"/>
      <c r="D38" s="386"/>
      <c r="E38" s="387"/>
      <c r="F38" s="388">
        <v>0</v>
      </c>
      <c r="G38" s="389">
        <f>+IF(F$6=0," -- %",F38/F$6)</f>
        <v>0</v>
      </c>
      <c r="H38" s="390"/>
      <c r="I38" s="388">
        <v>0</v>
      </c>
      <c r="J38" s="389">
        <f>+IF(I$6=0," -- %",I38/I$6)</f>
        <v>0</v>
      </c>
      <c r="K38" s="390"/>
      <c r="L38" s="388">
        <v>0</v>
      </c>
      <c r="M38" s="389">
        <f>+IF(L$6=0," -- %",L38/L$6)</f>
        <v>0</v>
      </c>
    </row>
    <row r="39" spans="1:13" s="396" customFormat="1">
      <c r="C39" s="406"/>
      <c r="F39" s="407"/>
      <c r="H39" s="370"/>
      <c r="I39" s="407"/>
      <c r="K39" s="370"/>
      <c r="L39" s="407"/>
    </row>
    <row r="40" spans="1:13" ht="14.25">
      <c r="A40" s="379" t="s">
        <v>12</v>
      </c>
      <c r="B40" s="133" t="s">
        <v>132</v>
      </c>
      <c r="C40" s="380"/>
      <c r="D40" s="128"/>
      <c r="E40" s="358"/>
      <c r="F40" s="403">
        <f>+F30+F32+F34+F36+F38</f>
        <v>-964.08404166666662</v>
      </c>
      <c r="G40" s="408">
        <f>+IF(F$6=0," -- %",F40/F$6)</f>
        <v>-9.7678221040189125E-2</v>
      </c>
      <c r="H40" s="405"/>
      <c r="I40" s="403">
        <f>+I30+I32+I34+I36+I38</f>
        <v>-916.61383333333322</v>
      </c>
      <c r="J40" s="408">
        <f>+IF(I$6=0," -- %",I40/I$6)</f>
        <v>-1.2509230069373364E-2</v>
      </c>
      <c r="K40" s="405"/>
      <c r="L40" s="403">
        <f>+L30+L32+L34+L36+L38</f>
        <v>-899.38297499999999</v>
      </c>
      <c r="M40" s="408">
        <f>+IF(L$6=0," -- %",L40/L$6)</f>
        <v>-4.5149747740963857E-2</v>
      </c>
    </row>
    <row r="41" spans="1:13">
      <c r="F41" s="402"/>
      <c r="I41" s="402"/>
      <c r="L41" s="402"/>
    </row>
    <row r="42" spans="1:13" ht="14.25">
      <c r="A42" s="379" t="s">
        <v>19</v>
      </c>
      <c r="B42" s="133" t="s">
        <v>133</v>
      </c>
      <c r="C42" s="380"/>
      <c r="D42" s="128"/>
      <c r="E42" s="358"/>
      <c r="F42" s="403">
        <f>+F28+F40</f>
        <v>-5105.3298750000013</v>
      </c>
      <c r="G42" s="408">
        <f>+IF(F$6=0," -- %",F42/F$6)</f>
        <v>-0.5172573328267478</v>
      </c>
      <c r="H42" s="405"/>
      <c r="I42" s="403">
        <f>+I28+I40</f>
        <v>18696.463666666667</v>
      </c>
      <c r="J42" s="408">
        <f>+IF(I$6=0," -- %",I42/I$6)</f>
        <v>0.25515474127146592</v>
      </c>
      <c r="K42" s="405"/>
      <c r="L42" s="403">
        <f>+L28+L40</f>
        <v>-54597.852141666677</v>
      </c>
      <c r="M42" s="408">
        <f>+IF(L$6=0," -- %",L42/L$6)</f>
        <v>-2.7408560312081667</v>
      </c>
    </row>
    <row r="43" spans="1:13">
      <c r="F43" s="402"/>
      <c r="I43" s="402"/>
      <c r="L43" s="402"/>
    </row>
    <row r="44" spans="1:13" ht="14.25">
      <c r="A44" s="383">
        <v>17</v>
      </c>
      <c r="B44" s="341" t="s">
        <v>134</v>
      </c>
      <c r="C44" s="397"/>
      <c r="D44" s="398"/>
      <c r="E44" s="399"/>
      <c r="F44" s="400">
        <f>-F42*'Datos iniciales'!C10</f>
        <v>1276.3324687500003</v>
      </c>
      <c r="G44" s="401">
        <f>+IF(F$6=0," -- %",F44/F$6)</f>
        <v>0.12931433320668695</v>
      </c>
      <c r="H44" s="390"/>
      <c r="I44" s="400">
        <f>-I42*'Datos iniciales'!C10</f>
        <v>-4674.1159166666666</v>
      </c>
      <c r="J44" s="401">
        <f>+IF(I$6=0," -- %",I44/I$6)</f>
        <v>-6.3788685317866481E-2</v>
      </c>
      <c r="K44" s="390"/>
      <c r="L44" s="400">
        <f>-L42*'Datos iniciales'!C10</f>
        <v>13649.463035416669</v>
      </c>
      <c r="M44" s="401">
        <f>+IF(L$6=0," -- %",L44/L$6)</f>
        <v>0.68521400780204167</v>
      </c>
    </row>
    <row r="45" spans="1:13">
      <c r="F45" s="402"/>
      <c r="I45" s="402"/>
      <c r="L45" s="402"/>
    </row>
    <row r="46" spans="1:13" ht="14.25">
      <c r="A46" s="379" t="s">
        <v>27</v>
      </c>
      <c r="B46" s="133" t="s">
        <v>135</v>
      </c>
      <c r="C46" s="380"/>
      <c r="D46" s="128"/>
      <c r="E46" s="358"/>
      <c r="F46" s="403">
        <f>+F42+F44</f>
        <v>-3828.9974062500009</v>
      </c>
      <c r="G46" s="408">
        <f>+IF(F$6=0," -- %",F46/F$6)</f>
        <v>-0.3879429996200609</v>
      </c>
      <c r="H46" s="405"/>
      <c r="I46" s="403">
        <f>+I42+I44</f>
        <v>14022.347750000001</v>
      </c>
      <c r="J46" s="408">
        <f>+IF(I$6=0," -- %",I46/I$6)</f>
        <v>0.19136605595359946</v>
      </c>
      <c r="K46" s="405"/>
      <c r="L46" s="403">
        <f>(L42+L44)</f>
        <v>-40948.389106250004</v>
      </c>
      <c r="M46" s="408">
        <f>+IF(L$6=0," -- %",L46/L$6)</f>
        <v>-2.0556420234061248</v>
      </c>
    </row>
    <row r="47" spans="1:13">
      <c r="F47" s="402"/>
      <c r="I47" s="402"/>
      <c r="L47" s="402"/>
    </row>
    <row r="48" spans="1:13">
      <c r="F48" s="409"/>
      <c r="I48" s="409"/>
      <c r="L48" s="409"/>
    </row>
  </sheetData>
  <mergeCells count="4">
    <mergeCell ref="F3:G3"/>
    <mergeCell ref="I3:J3"/>
    <mergeCell ref="L3:M3"/>
    <mergeCell ref="B1:C1"/>
  </mergeCells>
  <phoneticPr fontId="2" type="noConversion"/>
  <pageMargins left="0.48" right="0.28000000000000003" top="0.3" bottom="0.28000000000000003" header="0" footer="0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Datos iniciales</vt:lpstr>
      <vt:lpstr>1 Inversión</vt:lpstr>
      <vt:lpstr>2 Financiación</vt:lpstr>
      <vt:lpstr>3 Previsión Ingresos-Gastos</vt:lpstr>
      <vt:lpstr>4 Periodo Cobro-Pago</vt:lpstr>
      <vt:lpstr>5 Distribución Resultado</vt:lpstr>
      <vt:lpstr>6 Liquidación IVA</vt:lpstr>
      <vt:lpstr>A Tesorería</vt:lpstr>
      <vt:lpstr>B Pérdidas y Ganancias</vt:lpstr>
      <vt:lpstr>C Balance</vt:lpstr>
      <vt:lpstr>D Ratios</vt:lpstr>
      <vt:lpstr>Cálculo préstamo Año 1</vt:lpstr>
      <vt:lpstr>Cálculo préstamo Año 2</vt:lpstr>
      <vt:lpstr>Cálculo préstamo Año 3</vt:lpstr>
      <vt:lpstr>Cuadro Amortización</vt:lpstr>
      <vt:lpstr>Liquidación Impuesto Beneficios</vt:lpstr>
      <vt:lpstr>'A Tesorería'!_1Àrea_d_impressió</vt:lpstr>
      <vt:lpstr>'D Ratios'!_2Àrea_d_impressió</vt:lpstr>
      <vt:lpstr>'5 Distribución Resultado'!OLE_LINK1</vt:lpstr>
      <vt:lpstr>'A Tesorería'!Títulos_a_imprimir</vt:lpstr>
      <vt:lpstr>'C Balance'!Títulos_a_imprimir</vt:lpstr>
      <vt:lpstr>'D Ratios'!Títulos_a_imprimir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msanzmore</cp:lastModifiedBy>
  <cp:lastPrinted>2009-05-11T11:03:42Z</cp:lastPrinted>
  <dcterms:created xsi:type="dcterms:W3CDTF">2009-03-12T10:13:41Z</dcterms:created>
  <dcterms:modified xsi:type="dcterms:W3CDTF">2018-05-28T11:31:52Z</dcterms:modified>
</cp:coreProperties>
</file>